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4" yWindow="4908" windowWidth="14988" windowHeight="6492" tabRatio="842" activeTab="2"/>
  </bookViews>
  <sheets>
    <sheet name="解説等" sheetId="1" r:id="rId1"/>
    <sheet name="利用法" sheetId="2" r:id="rId2"/>
    <sheet name="ゲーム差" sheetId="3" r:id="rId3"/>
    <sheet name="スコア付き集計表" sheetId="4" r:id="rId4"/>
    <sheet name="集計表" sheetId="5" r:id="rId5"/>
    <sheet name="得失Ａ" sheetId="6" r:id="rId6"/>
    <sheet name="得失Ｂ" sheetId="7" r:id="rId7"/>
    <sheet name="得失Ｃ" sheetId="8" r:id="rId8"/>
    <sheet name="得失Ｄ" sheetId="9" r:id="rId9"/>
    <sheet name="得失Ｅ" sheetId="10" r:id="rId10"/>
    <sheet name="得失Ｆ" sheetId="11" r:id="rId11"/>
    <sheet name="得失Ｇ" sheetId="12" r:id="rId12"/>
    <sheet name="得失Ｈ" sheetId="13" r:id="rId13"/>
    <sheet name="素データ" sheetId="14" r:id="rId14"/>
    <sheet name="日程検証用" sheetId="15" r:id="rId15"/>
    <sheet name="criteria" sheetId="16" r:id="rId16"/>
  </sheets>
  <definedNames/>
  <calcPr fullCalcOnLoad="1"/>
</workbook>
</file>

<file path=xl/comments14.xml><?xml version="1.0" encoding="utf-8"?>
<comments xmlns="http://schemas.openxmlformats.org/spreadsheetml/2006/main">
  <authors>
    <author>天野省吾</author>
    <author>showgod</author>
  </authors>
  <commentList>
    <comment ref="AB5" authorId="0">
      <text>
        <r>
          <rPr>
            <b/>
            <sz val="9"/>
            <rFont val="ＭＳ Ｐゴシック"/>
            <family val="3"/>
          </rPr>
          <t>天野省吾:</t>
        </r>
        <r>
          <rPr>
            <sz val="9"/>
            <rFont val="ＭＳ Ｐゴシック"/>
            <family val="3"/>
          </rPr>
          <t xml:space="preserve">
下記の場合に警告表示
１．チーム名重複
２．チーム名空白</t>
        </r>
      </text>
    </comment>
    <comment ref="V3" authorId="1">
      <text>
        <r>
          <rPr>
            <b/>
            <sz val="12"/>
            <rFont val="ＭＳ ゴシック"/>
            <family val="3"/>
          </rPr>
          <t>天野省吾
これも　私のアイデア
　　　　　↓
１試合分ずらしてあるところがポイント</t>
        </r>
      </text>
    </comment>
    <comment ref="Y3" authorId="0">
      <text>
        <r>
          <rPr>
            <b/>
            <sz val="9"/>
            <rFont val="ＭＳ Ｐゴシック"/>
            <family val="3"/>
          </rPr>
          <t>天野省吾:</t>
        </r>
        <r>
          <rPr>
            <sz val="9"/>
            <rFont val="ＭＳ Ｐゴシック"/>
            <family val="3"/>
          </rPr>
          <t xml:space="preserve">
取り扱いの簡易化
</t>
        </r>
      </text>
    </comment>
    <comment ref="AD3" authorId="0">
      <text>
        <r>
          <rPr>
            <b/>
            <sz val="9"/>
            <rFont val="ＭＳ ゴシック"/>
            <family val="3"/>
          </rPr>
          <t>天野省吾:</t>
        </r>
        <r>
          <rPr>
            <sz val="9"/>
            <rFont val="ＭＳ ゴシック"/>
            <family val="3"/>
          </rPr>
          <t xml:space="preserve">
</t>
        </r>
        <r>
          <rPr>
            <b/>
            <sz val="9"/>
            <rFont val="ＭＳ ゴシック"/>
            <family val="3"/>
          </rPr>
          <t>・私の一級品のアイデア
・このブックのアイデアの原点</t>
        </r>
      </text>
    </comment>
  </commentList>
</comments>
</file>

<file path=xl/comments3.xml><?xml version="1.0" encoding="utf-8"?>
<comments xmlns="http://schemas.openxmlformats.org/spreadsheetml/2006/main">
  <authors>
    <author>showgod</author>
  </authors>
  <commentList>
    <comment ref="B12" authorId="0">
      <text>
        <r>
          <rPr>
            <b/>
            <sz val="10"/>
            <rFont val="ＭＳ Ｐゴシック"/>
            <family val="3"/>
          </rPr>
          <t xml:space="preserve">天野省吾
</t>
        </r>
        <r>
          <rPr>
            <sz val="10"/>
            <rFont val="ＭＳ Ｐゴシック"/>
            <family val="3"/>
          </rPr>
          <t xml:space="preserve">
</t>
        </r>
        <r>
          <rPr>
            <b/>
            <sz val="11"/>
            <rFont val="ＭＳ Ｐゴシック"/>
            <family val="3"/>
          </rPr>
          <t>私の一級品のアイデア</t>
        </r>
      </text>
    </comment>
  </commentList>
</comments>
</file>

<file path=xl/comments4.xml><?xml version="1.0" encoding="utf-8"?>
<comments xmlns="http://schemas.openxmlformats.org/spreadsheetml/2006/main">
  <authors>
    <author>showgod</author>
  </authors>
  <commentList>
    <comment ref="A58" authorId="0">
      <text>
        <r>
          <rPr>
            <b/>
            <sz val="10"/>
            <rFont val="ＭＳ Ｐゴシック"/>
            <family val="3"/>
          </rPr>
          <t>天野省吾
私の一級品のアイデア</t>
        </r>
      </text>
    </comment>
  </commentList>
</comments>
</file>

<file path=xl/sharedStrings.xml><?xml version="1.0" encoding="utf-8"?>
<sst xmlns="http://schemas.openxmlformats.org/spreadsheetml/2006/main" count="1243" uniqueCount="481">
  <si>
    <t>Ａ</t>
  </si>
  <si>
    <t>試合数</t>
  </si>
  <si>
    <t>勝利</t>
  </si>
  <si>
    <t>敗戦</t>
  </si>
  <si>
    <t>引分</t>
  </si>
  <si>
    <t>勝率</t>
  </si>
  <si>
    <t>◇</t>
  </si>
  <si>
    <t>記号</t>
  </si>
  <si>
    <t>チーム表</t>
  </si>
  <si>
    <t>日付</t>
  </si>
  <si>
    <t>ビジター</t>
  </si>
  <si>
    <t>試合№</t>
  </si>
  <si>
    <t>変更実績</t>
  </si>
  <si>
    <t>対戦カード</t>
  </si>
  <si>
    <t>当初日程</t>
  </si>
  <si>
    <t>パターン</t>
  </si>
  <si>
    <t>検索キー</t>
  </si>
  <si>
    <t>A</t>
  </si>
  <si>
    <t>B</t>
  </si>
  <si>
    <t>C</t>
  </si>
  <si>
    <t>D</t>
  </si>
  <si>
    <t>E</t>
  </si>
  <si>
    <t>組合せ</t>
  </si>
  <si>
    <t>反転</t>
  </si>
  <si>
    <t>AB</t>
  </si>
  <si>
    <t>AC</t>
  </si>
  <si>
    <t>AD</t>
  </si>
  <si>
    <t>AE</t>
  </si>
  <si>
    <t>AF</t>
  </si>
  <si>
    <t>BC</t>
  </si>
  <si>
    <t>BD</t>
  </si>
  <si>
    <t>BE</t>
  </si>
  <si>
    <t>BF</t>
  </si>
  <si>
    <t>CE</t>
  </si>
  <si>
    <t>CF</t>
  </si>
  <si>
    <t>DA</t>
  </si>
  <si>
    <t>DB</t>
  </si>
  <si>
    <t>DC</t>
  </si>
  <si>
    <t>DE</t>
  </si>
  <si>
    <t>DF</t>
  </si>
  <si>
    <t>EA</t>
  </si>
  <si>
    <t>EB</t>
  </si>
  <si>
    <t>EC</t>
  </si>
  <si>
    <t>ED</t>
  </si>
  <si>
    <t>EF</t>
  </si>
  <si>
    <t>FA</t>
  </si>
  <si>
    <t>FB</t>
  </si>
  <si>
    <t>FC</t>
  </si>
  <si>
    <t>FD</t>
  </si>
  <si>
    <t>FE</t>
  </si>
  <si>
    <t>組合せパターン表</t>
  </si>
  <si>
    <t>順位</t>
  </si>
  <si>
    <t>○</t>
  </si>
  <si>
    <t>●</t>
  </si>
  <si>
    <t>試合結果</t>
  </si>
  <si>
    <t>結果表示反転表</t>
  </si>
  <si>
    <t>△</t>
  </si>
  <si>
    <t>順表示</t>
  </si>
  <si>
    <t>反転表示</t>
  </si>
  <si>
    <t>(入力項目)</t>
  </si>
  <si>
    <t>集計表 表示用</t>
  </si>
  <si>
    <t>記号Ａ</t>
  </si>
  <si>
    <t>得点Ａ</t>
  </si>
  <si>
    <t>記号Ｂ</t>
  </si>
  <si>
    <t>得点Ｂ</t>
  </si>
  <si>
    <t>検算部</t>
  </si>
  <si>
    <t>主催チーム</t>
  </si>
  <si>
    <t>主催チーム
から見た</t>
  </si>
  <si>
    <t>チーム名</t>
  </si>
  <si>
    <t>………</t>
  </si>
  <si>
    <t>主催時用</t>
  </si>
  <si>
    <t>ビジター時用</t>
  </si>
  <si>
    <t>当様式作成の動機</t>
  </si>
  <si>
    <t>様式作成上の着想</t>
  </si>
  <si>
    <t>（１）</t>
  </si>
  <si>
    <t>リーグ戦勝敗表の構造</t>
  </si>
  <si>
    <t>（２）</t>
  </si>
  <si>
    <t>リーグ戦勝敗表の構成</t>
  </si>
  <si>
    <t>①　チーム名表示領域</t>
  </si>
  <si>
    <t>②　対戦結果表示領域</t>
  </si>
  <si>
    <t>①　主催チームとビジターチーム</t>
  </si>
  <si>
    <t>②　具体化のアイデア</t>
  </si>
  <si>
    <t>　　リーグ戦としての全ての試合を序列の上位チームから見た結果として統一し</t>
  </si>
  <si>
    <t>の部分を確定してから、それを反転して</t>
  </si>
  <si>
    <t>　　序列の下位チームから見たもの</t>
  </si>
  <si>
    <t>　　※当初、１つの試合結果をもとに『主催チーム用レコード』、『ビジターチーム用レコード』と２つのレコードを生成して加工</t>
  </si>
  <si>
    <t>関数の使用</t>
  </si>
  <si>
    <t>IF</t>
  </si>
  <si>
    <t>COUNTIF</t>
  </si>
  <si>
    <t>VLOOKUP</t>
  </si>
  <si>
    <t>DCOUNTA</t>
  </si>
  <si>
    <t>SUM</t>
  </si>
  <si>
    <t>方針</t>
  </si>
  <si>
    <t>・入力項目を可能な限り減らすこと。</t>
  </si>
  <si>
    <t>具体化策</t>
  </si>
  <si>
    <t>（３）</t>
  </si>
  <si>
    <t>検証</t>
  </si>
  <si>
    <t>（４）</t>
  </si>
  <si>
    <t>値の結合</t>
  </si>
  <si>
    <t>条件判定（値の検査）</t>
  </si>
  <si>
    <t>値の集計</t>
  </si>
  <si>
    <t>ある値を手がかりにした検索で対応する値を取得</t>
  </si>
  <si>
    <t>レコード内の他のセルに特定の値をもつレコードの計数………クライテリア（シート名：criteria）使用</t>
  </si>
  <si>
    <t>様式の改造</t>
  </si>
  <si>
    <t>①　対戦結果表示領域の修正</t>
  </si>
  <si>
    <t>　　まず、</t>
  </si>
  <si>
    <t>　　結果については</t>
  </si>
  <si>
    <t>様式のカスタマイズ</t>
  </si>
  <si>
    <t>シート名</t>
  </si>
  <si>
    <t>カスタマイズ対象</t>
  </si>
  <si>
    <t>集計表</t>
  </si>
  <si>
    <t>素データ</t>
  </si>
  <si>
    <t>チーム表内のチーム名</t>
  </si>
  <si>
    <t>②　リーグ戦勝敗表の本体の修正（前項以外）</t>
  </si>
  <si>
    <t>修正対象</t>
  </si>
  <si>
    <t>１．</t>
  </si>
  <si>
    <t>２．</t>
  </si>
  <si>
    <t>３．</t>
  </si>
  <si>
    <t>特定の値をもつセルの計数</t>
  </si>
  <si>
    <t>◇</t>
  </si>
  <si>
    <t>・様式使用上の誤りを排除するため、可能な限りの『入力値チェック』を行うこと。</t>
  </si>
  <si>
    <t>　　総当たりを複数回行うリーグ戦では、その公平さを期するため「使用するベンチや先攻／後攻」を各チームに均等に割り振る。</t>
  </si>
  <si>
    <r>
      <t>　　　</t>
    </r>
    <r>
      <rPr>
        <b/>
        <sz val="12"/>
        <rFont val="ＭＳ ゴシック"/>
        <family val="3"/>
      </rPr>
      <t>（</t>
    </r>
  </si>
  <si>
    <t>　　・実力伯仲（実力の抜きんでたチームがなくドングリの背比べ）</t>
  </si>
  <si>
    <t>　　・順当（各チームの序列に相応した実績となっている）</t>
  </si>
  <si>
    <t>現実と理論</t>
  </si>
  <si>
    <r>
      <t>　　その結果として、リーグ戦の試合日程上では</t>
    </r>
    <r>
      <rPr>
        <b/>
        <sz val="12"/>
        <rFont val="ＭＳ ゴシック"/>
        <family val="3"/>
      </rPr>
      <t>『チームＡ対チームＢ』、『チームＢ対チームＡ』</t>
    </r>
    <r>
      <rPr>
        <sz val="12"/>
        <rFont val="ＭＳ ゴシック"/>
        <family val="3"/>
      </rPr>
      <t>と異なって表記されることに</t>
    </r>
  </si>
  <si>
    <t>様式の作成に関する補足等</t>
  </si>
  <si>
    <t>反転有無</t>
  </si>
  <si>
    <t>得点</t>
  </si>
  <si>
    <t>失点</t>
  </si>
  <si>
    <t>得点表示</t>
  </si>
  <si>
    <t>上位チーム</t>
  </si>
  <si>
    <t>下位チーム</t>
  </si>
  <si>
    <t>表示用加工部</t>
  </si>
  <si>
    <r>
      <t>上位から見た</t>
    </r>
    <r>
      <rPr>
        <sz val="12"/>
        <rFont val="ＭＳ ゴシック"/>
        <family val="3"/>
      </rPr>
      <t xml:space="preserve">
結果表示</t>
    </r>
  </si>
  <si>
    <t>エラー表示</t>
  </si>
  <si>
    <t>③　参考（リーグ戦の概況の把握：「スコア表示なし」の集計表）</t>
  </si>
  <si>
    <t>各 集計表</t>
  </si>
  <si>
    <t>無修正での利用法は、下記のとおりです。</t>
  </si>
  <si>
    <t>１．準備作業</t>
  </si>
  <si>
    <t>チームの登録</t>
  </si>
  <si>
    <t>ここで入力した「チーム名」が他のシート等で引用されます。</t>
  </si>
  <si>
    <t>大会日程の登録</t>
  </si>
  <si>
    <t>　　（１）</t>
  </si>
  <si>
    <t>実績の登録</t>
  </si>
  <si>
    <t>なお、変更実績は、日程に変更があった場合に限って実際の暦日や試合№を入力します。</t>
  </si>
  <si>
    <t>　　（２）</t>
  </si>
  <si>
    <t>進行状況の参照</t>
  </si>
  <si>
    <t>（５）</t>
  </si>
  <si>
    <t>二次的な特長</t>
  </si>
  <si>
    <t>個々の対戦カードに関して、その結果の表示位置は「集計表」シート内では固定ですが「素データ」シート内での位置では不問です。</t>
  </si>
  <si>
    <r>
      <t>これは、「集計表」シート内に対戦結果を表示する際に『</t>
    </r>
    <r>
      <rPr>
        <b/>
        <sz val="12"/>
        <rFont val="ＭＳ ゴシック"/>
        <family val="3"/>
      </rPr>
      <t>対応する値を検索して表示する</t>
    </r>
    <r>
      <rPr>
        <sz val="12"/>
        <rFont val="ＭＳ ゴシック"/>
        <family val="3"/>
      </rPr>
      <t>』ことによります。</t>
    </r>
  </si>
  <si>
    <t>大会の日程が決まった時点で「素データ」表の当初日程（暦日や試合№）と対戦カード（対戦チームの略称）を入力します。</t>
  </si>
  <si>
    <t>日程の進行にあわせで、対戦実績を入力します（「素データ」表の対戦カード（得点Ａと得点Ｂ）を入力します。）</t>
  </si>
  <si>
    <t>対戦チーム</t>
  </si>
  <si>
    <t>得　点</t>
  </si>
  <si>
    <t>失　点</t>
  </si>
  <si>
    <t>記　号</t>
  </si>
  <si>
    <t>確　認</t>
  </si>
  <si>
    <t>№</t>
  </si>
  <si>
    <t>各 得失表</t>
  </si>
  <si>
    <t>得失点表</t>
  </si>
  <si>
    <t>５．</t>
  </si>
  <si>
    <t>６．</t>
  </si>
  <si>
    <t>４．</t>
  </si>
  <si>
    <t>構成シート一覧表</t>
  </si>
  <si>
    <t>シートの概要</t>
  </si>
  <si>
    <t>取り扱い区分</t>
  </si>
  <si>
    <t>解説等</t>
  </si>
  <si>
    <t>利用法</t>
  </si>
  <si>
    <t>スコア付き集計表</t>
  </si>
  <si>
    <t>得失Ａ</t>
  </si>
  <si>
    <t>得失Ｂ</t>
  </si>
  <si>
    <t>得失Ｃ</t>
  </si>
  <si>
    <t>得失Ｄ</t>
  </si>
  <si>
    <t>得失Ｅ</t>
  </si>
  <si>
    <t>得失Ｆ</t>
  </si>
  <si>
    <t>criteria</t>
  </si>
  <si>
    <t>表示専用</t>
  </si>
  <si>
    <t>原始データ入力用</t>
  </si>
  <si>
    <t>〃</t>
  </si>
  <si>
    <t>③　得失点シートの追加</t>
  </si>
  <si>
    <t>④　表のレコードの追加</t>
  </si>
  <si>
    <t>⑤　修正分に関わる関数や入力規則（選択項目関係）の修正（素データ表）</t>
  </si>
  <si>
    <t>このシート</t>
  </si>
  <si>
    <t>「準備～利用」の作業について説明</t>
  </si>
  <si>
    <t>リーグ戦の勝敗表</t>
  </si>
  <si>
    <t>リーグ戦の勝敗表（試合のスコア、得失点付き）</t>
  </si>
  <si>
    <t>Ａチームの得失点表とグラフ</t>
  </si>
  <si>
    <t>Ｂチームの　　　〃</t>
  </si>
  <si>
    <t>Ｃチームの　　　〃</t>
  </si>
  <si>
    <t>Ｄチームの　　　〃</t>
  </si>
  <si>
    <t>Ｅチームの　　　〃</t>
  </si>
  <si>
    <t>Ｆチームの　　　〃</t>
  </si>
  <si>
    <t>得失点の検算処理で、集計対象を定義したもの</t>
  </si>
  <si>
    <t>リーグ戦の日程や実績を入力するためのシート</t>
  </si>
  <si>
    <t>　　（２）</t>
  </si>
  <si>
    <t>　　（３）</t>
  </si>
  <si>
    <t>　　（１）</t>
  </si>
  <si>
    <t>サンプルデータの消去</t>
  </si>
  <si>
    <t>当初は『サンプルデータなし』でしたが、利用イメージの把握し易さを考え敢えてサンプルデータを設定しました。</t>
  </si>
  <si>
    <t>サンプルデータは下記のとおりです（何れも『素データ』のシート内）。</t>
  </si>
  <si>
    <t>・当初日程（日付、試合№）</t>
  </si>
  <si>
    <t>・対戦カード（略称Ａ、得点Ａ、略称Ｂ、得点Ｂ）</t>
  </si>
  <si>
    <t>・チーム名</t>
  </si>
  <si>
    <t>【注意】それぞれのセルには、『条件付き書式』や『入力規則』を設定してありますので、消去せぬようご注意下さい。</t>
  </si>
  <si>
    <t>『素データ』シートのチーム表にチーム名を入力します。</t>
  </si>
  <si>
    <t>２．利　用</t>
  </si>
  <si>
    <t>『集計表』や『スコア付き集計表』、『得失Ａ』～『得失Ｆ』のシートを参照します。</t>
  </si>
  <si>
    <t>◆この様式を利用下さる皆様と情報交流を致したく、敢えてそれぞれのシートに保護を設定しました。</t>
  </si>
  <si>
    <t>　下記宛のお便りをお待ち申し上げます。</t>
  </si>
  <si>
    <t>　　empereur@infoseek.jp</t>
  </si>
  <si>
    <t>2007.12.02 天野省吾</t>
  </si>
  <si>
    <t>少年野球のリーグ戦において、その進行に対して『目で見る管理』を導入したいことにありました。</t>
  </si>
  <si>
    <t>リーグ戦勝敗表の構造は、概ね下記のとおりです。</t>
  </si>
  <si>
    <t>リーグ戦勝敗表の構成は、概ね下記のとおりです。</t>
  </si>
  <si>
    <t>　　チーム名の表示に使用される。この領域内での各チームの序列は、概ね前年度実績によります。</t>
  </si>
  <si>
    <t>　　この領域には、『○（勝利）や●（敗北）、△（引き分け）』を表示、領域自体は下記のように区分されます。</t>
  </si>
  <si>
    <t>………前記リーグ戦勝敗表で、この部分は序列の上位チームから見た対戦結果の表示に使用されます。</t>
  </si>
  <si>
    <t>………前記リーグ戦勝敗表で、この部分は序列の下位チームから見た対戦結果の表示に使用されます。</t>
  </si>
  <si>
    <t>　　従って、前記の２つの領域の表示内容は、互いに反対の結果を表示することになります。</t>
  </si>
  <si>
    <t>………前記リーグ戦勝敗表で、この部分が『白く見えるほど』その程度が高いと言えます。</t>
  </si>
  <si>
    <r>
      <t>………前記リーグ戦勝敗表で、この部分が『黒く見えるほど』その程度が高いと言えます。</t>
    </r>
    <r>
      <rPr>
        <b/>
        <sz val="12"/>
        <rFont val="ＭＳ ゴシック"/>
        <family val="3"/>
      </rPr>
      <t>）</t>
    </r>
  </si>
  <si>
    <t>　　　対戦結果表示領域全体が『灰色に見えるほど』その程度が高いと言えます。</t>
  </si>
  <si>
    <r>
      <t>　　なりますが、それらは</t>
    </r>
    <r>
      <rPr>
        <b/>
        <sz val="12"/>
        <rFont val="ＭＳ ゴシック"/>
        <family val="3"/>
      </rPr>
      <t>同一の対戦カード</t>
    </r>
    <r>
      <rPr>
        <sz val="12"/>
        <rFont val="ＭＳ ゴシック"/>
        <family val="3"/>
      </rPr>
      <t>であることをご理解下さい。</t>
    </r>
  </si>
  <si>
    <t>とするアイデアにたどり着きました。</t>
  </si>
  <si>
    <t>　　　する方法を考えましたが、よりシンプルさと簡易化を追求した結果として前記のアイデアの採用に至りました。</t>
  </si>
  <si>
    <t>前記の事項を実現するため、『条件付き書式』や『入力規則』を多用しました。</t>
  </si>
  <si>
    <t>また、関数により他の項目値を手がかりにした表示方法も多用しました。</t>
  </si>
  <si>
    <t>様式自体でその正しさを検証する仕組みを設定しました（検算部）。</t>
  </si>
  <si>
    <t>下記の関数を使用しています。</t>
  </si>
  <si>
    <t>無修正での利用であっても、下記の部分についてはそのカスタマイズが必要です。</t>
  </si>
  <si>
    <t>その利用上で所属チームの追加等の改造が必要な場合は、下記の手順での処置を推奨します。</t>
  </si>
  <si>
    <t>の部分を関数を含めて修正します。</t>
  </si>
  <si>
    <t>の部分に『○、●、△』を手入力することで確認可能。</t>
  </si>
  <si>
    <t>　　下記の各表に必要なレコードを追加します。</t>
  </si>
  <si>
    <t>　　また、クライテリアについては、対応するチームのクライテリアを追加します。</t>
  </si>
  <si>
    <t>⑥　その完成については、『検算部』にて確認可能です（改造に誤りがなければテストデータを入力すると全てOK表示となる）。</t>
  </si>
  <si>
    <t>RANK</t>
  </si>
  <si>
    <t>範囲内で何番目の大きさであるかを判定</t>
  </si>
  <si>
    <t>【補足】当初２つのグラフを重ねようとしましたが、凡例が２つのグラフに連動せず各要素の塗りつぶしの色を自由に制御できないため、これを断念しました。</t>
  </si>
  <si>
    <t xml:space="preserve"> </t>
  </si>
  <si>
    <t>AND</t>
  </si>
  <si>
    <t>並立条件の定義</t>
  </si>
  <si>
    <t>CONCATENATE ……</t>
  </si>
  <si>
    <t>OR</t>
  </si>
  <si>
    <t>択一条件の定義</t>
  </si>
  <si>
    <t>実績：</t>
  </si>
  <si>
    <t>完了</t>
  </si>
  <si>
    <t>→ シーズン完了表示用</t>
  </si>
  <si>
    <t>ゲーム差
整列用</t>
  </si>
  <si>
    <t>整列基準</t>
  </si>
  <si>
    <t>ROUND</t>
  </si>
  <si>
    <t>商の四捨五入を伴う除算</t>
  </si>
  <si>
    <t>ゲーム差</t>
  </si>
  <si>
    <t>実績が上位のチームとの差の目安</t>
  </si>
  <si>
    <t>チーム名</t>
  </si>
  <si>
    <t>勝ち差</t>
  </si>
  <si>
    <t>－</t>
  </si>
  <si>
    <t>LARGE</t>
  </si>
  <si>
    <t>数値群の中で、ｎ番目に大きな値の抽出</t>
  </si>
  <si>
    <t>【ご注意】</t>
  </si>
  <si>
    <t>=Ａ＋Ｂ＋Ｃ</t>
  </si>
  <si>
    <t>：勝率（ゲーム差表示の序列のベース）</t>
  </si>
  <si>
    <t>Ｂ</t>
  </si>
  <si>
    <t>：勝敗差（ゲーム差表示の序列の補正）</t>
  </si>
  <si>
    <t>Ｃ</t>
  </si>
  <si>
    <t>２．リーグ戦での個々のチームの序列（成績順）には、『勝率』をその基準の指標として用います。</t>
  </si>
  <si>
    <t>　　の指標として用いています。</t>
  </si>
  <si>
    <t>３．『ゲーム差がマイナス表示』になった場合は、「ゲーム差表」の欠点に相当する事象が発生して</t>
  </si>
  <si>
    <t>　　いることを示します。</t>
  </si>
  <si>
    <t>　　これは、前二者の指標がそれぞれ別（一方が勝敗差、他方が勝率）であることに起因します。</t>
  </si>
  <si>
    <t>４．『ゲーム差』の値は、あくまでも目安としてご理解下さい（前記３．のケースは目安にもならず）。</t>
  </si>
  <si>
    <t>１．『ゲーム差』は、上位のチームとの成績差を簡略的に把握する為に使用され、『勝敗差』を基準</t>
  </si>
  <si>
    <t>F</t>
  </si>
  <si>
    <t>G</t>
  </si>
  <si>
    <t>H</t>
  </si>
  <si>
    <t>AG</t>
  </si>
  <si>
    <t>AH</t>
  </si>
  <si>
    <t>BA</t>
  </si>
  <si>
    <t>BG</t>
  </si>
  <si>
    <t>BH</t>
  </si>
  <si>
    <t>AB</t>
  </si>
  <si>
    <t>CA</t>
  </si>
  <si>
    <t>CB</t>
  </si>
  <si>
    <t>CD</t>
  </si>
  <si>
    <t>CG</t>
  </si>
  <si>
    <t>CH</t>
  </si>
  <si>
    <t>AC</t>
  </si>
  <si>
    <t>DG</t>
  </si>
  <si>
    <t>DH</t>
  </si>
  <si>
    <t>AD</t>
  </si>
  <si>
    <t>BD</t>
  </si>
  <si>
    <t>EG</t>
  </si>
  <si>
    <t>EH</t>
  </si>
  <si>
    <t>AE</t>
  </si>
  <si>
    <t>BE</t>
  </si>
  <si>
    <t>CE</t>
  </si>
  <si>
    <t>DE</t>
  </si>
  <si>
    <t>FG</t>
  </si>
  <si>
    <t>FH</t>
  </si>
  <si>
    <t>AF</t>
  </si>
  <si>
    <t>BF</t>
  </si>
  <si>
    <t>CF</t>
  </si>
  <si>
    <t>DF</t>
  </si>
  <si>
    <t>EF</t>
  </si>
  <si>
    <t>GA</t>
  </si>
  <si>
    <t>GB</t>
  </si>
  <si>
    <t>GC</t>
  </si>
  <si>
    <t>GD</t>
  </si>
  <si>
    <t>GE</t>
  </si>
  <si>
    <t>GF</t>
  </si>
  <si>
    <t>GH</t>
  </si>
  <si>
    <t>BG</t>
  </si>
  <si>
    <t>CG</t>
  </si>
  <si>
    <t>DG</t>
  </si>
  <si>
    <t>EG</t>
  </si>
  <si>
    <t>FG</t>
  </si>
  <si>
    <t>GH</t>
  </si>
  <si>
    <t>HA</t>
  </si>
  <si>
    <t>HB</t>
  </si>
  <si>
    <t>HC</t>
  </si>
  <si>
    <t>HD</t>
  </si>
  <si>
    <t>HE</t>
  </si>
  <si>
    <t>HF</t>
  </si>
  <si>
    <t>HG</t>
  </si>
  <si>
    <t>CH</t>
  </si>
  <si>
    <t>DH</t>
  </si>
  <si>
    <t>EH</t>
  </si>
  <si>
    <t>FH</t>
  </si>
  <si>
    <t>合　計</t>
  </si>
  <si>
    <t>素データ計</t>
  </si>
  <si>
    <t>三者は共に同値になるのが正しい。</t>
  </si>
  <si>
    <t>→勝ちチームの得点は負けチームの失点となるため、集計値は２倍になっている。</t>
  </si>
  <si>
    <t>　同様に、勝ちチームの失点は負けチームの得点となる。</t>
  </si>
  <si>
    <t>先攻数</t>
  </si>
  <si>
    <t>後攻数</t>
  </si>
  <si>
    <t>【第１回戦】</t>
  </si>
  <si>
    <t>(初期入力)</t>
  </si>
  <si>
    <t>ｎ回戦</t>
  </si>
  <si>
    <t>対戦カード目視検証部</t>
  </si>
  <si>
    <t>【割付数検証部】</t>
  </si>
  <si>
    <t>(抽出)</t>
  </si>
  <si>
    <t>(等価表示)</t>
  </si>
  <si>
    <t>(合成)</t>
  </si>
  <si>
    <t>(分解)</t>
  </si>
  <si>
    <t>(判定)</t>
  </si>
  <si>
    <t>(編集)</t>
  </si>
  <si>
    <t>(表示：検索)</t>
  </si>
  <si>
    <t>日程消化状況表示用</t>
  </si>
  <si>
    <t>大会日程</t>
  </si>
  <si>
    <t>実績未入力</t>
  </si>
  <si>
    <t>試合数合計</t>
  </si>
  <si>
    <t>A</t>
  </si>
  <si>
    <t>B</t>
  </si>
  <si>
    <t>C</t>
  </si>
  <si>
    <t>D</t>
  </si>
  <si>
    <t>E</t>
  </si>
  <si>
    <t>G</t>
  </si>
  <si>
    <t>H</t>
  </si>
  <si>
    <t>○○１</t>
  </si>
  <si>
    <t>↑</t>
  </si>
  <si>
    <t>【第２回戦】</t>
  </si>
  <si>
    <t>素データ部</t>
  </si>
  <si>
    <t>A列複写</t>
  </si>
  <si>
    <t>○○２</t>
  </si>
  <si>
    <t>№</t>
  </si>
  <si>
    <t>01</t>
  </si>
  <si>
    <t>02</t>
  </si>
  <si>
    <t>03</t>
  </si>
  <si>
    <t>04</t>
  </si>
  <si>
    <t>05</t>
  </si>
  <si>
    <t>06</t>
  </si>
  <si>
    <t>07</t>
  </si>
  <si>
    <t>08</t>
  </si>
  <si>
    <t>09</t>
  </si>
  <si>
    <t>初期日程</t>
  </si>
  <si>
    <t>（入力項目）</t>
  </si>
  <si>
    <t>（表示項目）</t>
  </si>
  <si>
    <t>（表示項目）</t>
  </si>
  <si>
    <t>日</t>
  </si>
  <si>
    <t>大会 第</t>
  </si>
  <si>
    <t>ホーム（一塁側）</t>
  </si>
  <si>
    <t>ビジター（三塁側）</t>
  </si>
  <si>
    <t>通 番</t>
  </si>
  <si>
    <t>試合日程</t>
  </si>
  <si>
    <t>新規日程</t>
  </si>
  <si>
    <t>文字</t>
  </si>
  <si>
    <t>数値</t>
  </si>
  <si>
    <t>形式変換</t>
  </si>
  <si>
    <t>実表記</t>
  </si>
  <si>
    <t>等価表記</t>
  </si>
  <si>
    <t>加工補助部</t>
  </si>
  <si>
    <t>N</t>
  </si>
  <si>
    <t>Y</t>
  </si>
  <si>
    <t>Y</t>
  </si>
  <si>
    <t>チームＡ</t>
  </si>
  <si>
    <t>チームＢ</t>
  </si>
  <si>
    <t>チームＢ</t>
  </si>
  <si>
    <t>チームＡ</t>
  </si>
  <si>
    <t>試合結果　→</t>
  </si>
  <si>
    <t>全て「チームＡ」から見てのもの</t>
  </si>
  <si>
    <t>勝ち</t>
  </si>
  <si>
    <t>負け</t>
  </si>
  <si>
    <t>………</t>
  </si>
  <si>
    <t>…… 初期日程用ですから、日程を変更した場合は日付がずれます。</t>
  </si>
  <si>
    <t>【初期日程検証用】</t>
  </si>
  <si>
    <t>【第３回戦】</t>
  </si>
  <si>
    <t>第１試合～第２１試合→</t>
  </si>
  <si>
    <t>第２２試合～第４２試合→</t>
  </si>
  <si>
    <t>第４３試合～第６３試合→</t>
  </si>
  <si>
    <t>○○３</t>
  </si>
  <si>
    <t>Dummy</t>
  </si>
  <si>
    <t>ここだけ入力　(1～16)</t>
  </si>
  <si>
    <t>ファイターズＡ</t>
  </si>
  <si>
    <t>サンデーズＪｒＡ</t>
  </si>
  <si>
    <t>サンデーズＪｒＢ</t>
  </si>
  <si>
    <t>パイレーツ</t>
  </si>
  <si>
    <t>ベアーズ</t>
  </si>
  <si>
    <t>ファイターズＢ</t>
  </si>
  <si>
    <t>クッパーズＪｒ</t>
  </si>
  <si>
    <t>02</t>
  </si>
  <si>
    <t>03</t>
  </si>
  <si>
    <t>04</t>
  </si>
  <si>
    <t>05</t>
  </si>
  <si>
    <t>06</t>
  </si>
  <si>
    <t>07</t>
  </si>
  <si>
    <t>08</t>
  </si>
  <si>
    <t>09</t>
  </si>
  <si>
    <t>全て「チームＢ」から見てのもの</t>
  </si>
  <si>
    <t>全て「チームＣ」から見てのもの</t>
  </si>
  <si>
    <t>全て「チームＤ」から見てのもの</t>
  </si>
  <si>
    <t>全て「チームＥ」から見てのもの</t>
  </si>
  <si>
    <t>全て「チームＦ」から見てのもの</t>
  </si>
  <si>
    <t>全て「チームＧ」から見てのもの</t>
  </si>
  <si>
    <t>全て「チームＨ」から見てのもの</t>
  </si>
  <si>
    <t>リーグ戦勝敗表（総当たり３回）</t>
  </si>
  <si>
    <t>勝 率</t>
  </si>
  <si>
    <t>：識別値（ゲーム差表示の序列の補正）→ 勝率が同一、勝敗差も同一の場合の識別用(昨年度成績序列の逆数)</t>
  </si>
  <si>
    <t>：識別値（ゲーム差表示の序列の補正）→　勝率が同一、勝敗差も同一の場合の識別用(昨年度成績序列の逆数)</t>
  </si>
  <si>
    <t>残り</t>
  </si>
  <si>
    <t>AB</t>
  </si>
  <si>
    <t>GC</t>
  </si>
  <si>
    <t>BD</t>
  </si>
  <si>
    <t>EF</t>
  </si>
  <si>
    <t>GB</t>
  </si>
  <si>
    <t>AF</t>
  </si>
  <si>
    <t>DF</t>
  </si>
  <si>
    <t>CE</t>
  </si>
  <si>
    <t>DE</t>
  </si>
  <si>
    <t>GF</t>
  </si>
  <si>
    <t>AE</t>
  </si>
  <si>
    <t>BC</t>
  </si>
  <si>
    <t>BF</t>
  </si>
  <si>
    <t>CD</t>
  </si>
  <si>
    <t>GE</t>
  </si>
  <si>
    <t>AD</t>
  </si>
  <si>
    <t>AC</t>
  </si>
  <si>
    <t>BE</t>
  </si>
  <si>
    <t>CF</t>
  </si>
  <si>
    <t>GD</t>
  </si>
  <si>
    <t>GA</t>
  </si>
  <si>
    <t>DC</t>
  </si>
  <si>
    <t>BA</t>
  </si>
  <si>
    <t>FE</t>
  </si>
  <si>
    <t>FD</t>
  </si>
  <si>
    <t>EA</t>
  </si>
  <si>
    <t>DB</t>
  </si>
  <si>
    <t>FA</t>
  </si>
  <si>
    <t>EC</t>
  </si>
  <si>
    <t>FC</t>
  </si>
  <si>
    <t>DA</t>
  </si>
  <si>
    <t>CB</t>
  </si>
  <si>
    <t>ED</t>
  </si>
  <si>
    <t>CA</t>
  </si>
  <si>
    <t>FB</t>
  </si>
  <si>
    <t>EB</t>
  </si>
  <si>
    <t xml:space="preserve">…… 猛暑期(3試合/1月日)の導入により表示がずれるのでご注意。 </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</si>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</sst>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m&quot;月&quot;dd&quot;日&quot;"/>
    <numFmt numFmtId="179" formatCode="0.0000_ "/>
    <numFmt numFmtId="180" formatCode="0.0_ "/>
    <numFmt numFmtId="181" formatCode="0.000000_ "/>
    <numFmt numFmtId="182" formatCode="m&quot;月&quot;d&quot;日&quot;;@"/>
    <numFmt numFmtId="183" formatCode="mmm\-yyyy"/>
  </numFmts>
  <fonts count="63">
    <font>
      <sz val="12"/>
      <name val="ＭＳ ゴシック"/>
      <family val="3"/>
    </font>
    <font>
      <sz val="6"/>
      <name val="ＭＳ ゴシック"/>
      <family val="3"/>
    </font>
    <font>
      <sz val="10"/>
      <name val="ＭＳ ゴシック"/>
      <family val="3"/>
    </font>
    <font>
      <b/>
      <sz val="12"/>
      <name val="ＭＳ ゴシック"/>
      <family val="3"/>
    </font>
    <font>
      <b/>
      <sz val="12"/>
      <color indexed="10"/>
      <name val="ＭＳ ゴシック"/>
      <family val="3"/>
    </font>
    <font>
      <sz val="8"/>
      <name val="ＭＳ ゴシック"/>
      <family val="3"/>
    </font>
    <font>
      <sz val="9"/>
      <name val="ＭＳ Ｐゴシック"/>
      <family val="3"/>
    </font>
    <font>
      <b/>
      <sz val="9"/>
      <name val="ＭＳ Ｐゴシック"/>
      <family val="3"/>
    </font>
    <font>
      <sz val="14"/>
      <name val="ＭＳ ゴシック"/>
      <family val="3"/>
    </font>
    <font>
      <b/>
      <sz val="14"/>
      <color indexed="10"/>
      <name val="ＭＳ ゴシック"/>
      <family val="3"/>
    </font>
    <font>
      <b/>
      <sz val="14"/>
      <name val="ＭＳ ゴシック"/>
      <family val="3"/>
    </font>
    <font>
      <sz val="20"/>
      <name val="ＭＳ ゴシック"/>
      <family val="3"/>
    </font>
    <font>
      <sz val="18"/>
      <name val="ＭＳ ゴシック"/>
      <family val="3"/>
    </font>
    <font>
      <sz val="12"/>
      <color indexed="9"/>
      <name val="ＭＳ ゴシック"/>
      <family val="3"/>
    </font>
    <font>
      <sz val="17.75"/>
      <name val="ＭＳ ゴシック"/>
      <family val="3"/>
    </font>
    <font>
      <sz val="36.25"/>
      <name val="ＭＳ ゴシック"/>
      <family val="3"/>
    </font>
    <font>
      <sz val="18.25"/>
      <name val="ＭＳ ゴシック"/>
      <family val="3"/>
    </font>
    <font>
      <sz val="18"/>
      <color indexed="9"/>
      <name val="ＭＳ ゴシック"/>
      <family val="3"/>
    </font>
    <font>
      <sz val="16.5"/>
      <name val="ＭＳ ゴシック"/>
      <family val="3"/>
    </font>
    <font>
      <sz val="18.5"/>
      <name val="ＭＳ ゴシック"/>
      <family val="3"/>
    </font>
    <font>
      <sz val="20.25"/>
      <name val="ＭＳ ゴシック"/>
      <family val="3"/>
    </font>
    <font>
      <sz val="19.75"/>
      <name val="ＭＳ ゴシック"/>
      <family val="3"/>
    </font>
    <font>
      <sz val="16.25"/>
      <name val="ＭＳ ゴシック"/>
      <family val="3"/>
    </font>
    <font>
      <sz val="29.75"/>
      <name val="ＭＳ ゴシック"/>
      <family val="3"/>
    </font>
    <font>
      <sz val="16"/>
      <name val="ＭＳ ゴシック"/>
      <family val="3"/>
    </font>
    <font>
      <b/>
      <sz val="12"/>
      <color indexed="9"/>
      <name val="ＭＳ ゴシック"/>
      <family val="3"/>
    </font>
    <font>
      <sz val="36"/>
      <color indexed="9"/>
      <name val="ＭＳ ゴシック"/>
      <family val="3"/>
    </font>
    <font>
      <sz val="30.25"/>
      <name val="ＭＳ ゴシック"/>
      <family val="3"/>
    </font>
    <font>
      <sz val="35.75"/>
      <name val="ＭＳ ゴシック"/>
      <family val="3"/>
    </font>
    <font>
      <sz val="19.5"/>
      <name val="ＭＳ ゴシック"/>
      <family val="3"/>
    </font>
    <font>
      <sz val="35.5"/>
      <name val="ＭＳ ゴシック"/>
      <family val="3"/>
    </font>
    <font>
      <sz val="10"/>
      <color indexed="9"/>
      <name val="ＭＳ ゴシック"/>
      <family val="3"/>
    </font>
    <font>
      <b/>
      <sz val="8"/>
      <color indexed="9"/>
      <name val="ＭＳ ゴシック"/>
      <family val="3"/>
    </font>
    <font>
      <sz val="9"/>
      <name val="ＭＳ ゴシック"/>
      <family val="3"/>
    </font>
    <font>
      <b/>
      <sz val="11"/>
      <color indexed="10"/>
      <name val="ＭＳ ゴシック"/>
      <family val="3"/>
    </font>
    <font>
      <b/>
      <sz val="8"/>
      <color indexed="10"/>
      <name val="ＭＳ ゴシック"/>
      <family val="3"/>
    </font>
    <font>
      <b/>
      <sz val="9"/>
      <name val="ＭＳ ゴシック"/>
      <family val="3"/>
    </font>
    <font>
      <sz val="9"/>
      <color indexed="12"/>
      <name val="ＭＳ ゴシック"/>
      <family val="3"/>
    </font>
    <font>
      <sz val="11"/>
      <name val="ＭＳ ゴシック"/>
      <family val="3"/>
    </font>
    <font>
      <sz val="12"/>
      <color indexed="13"/>
      <name val="ＭＳ ゴシック"/>
      <family val="3"/>
    </font>
    <font>
      <sz val="16"/>
      <color indexed="11"/>
      <name val="ＭＳ ゴシック"/>
      <family val="3"/>
    </font>
    <font>
      <sz val="6"/>
      <color indexed="43"/>
      <name val="ＭＳ ゴシック"/>
      <family val="3"/>
    </font>
    <font>
      <b/>
      <sz val="12"/>
      <color indexed="12"/>
      <name val="ＭＳ ゴシック"/>
      <family val="3"/>
    </font>
    <font>
      <sz val="12"/>
      <color indexed="12"/>
      <name val="ＭＳ ゴシック"/>
      <family val="3"/>
    </font>
    <font>
      <sz val="16"/>
      <color indexed="9"/>
      <name val="ＭＳ ゴシック"/>
      <family val="3"/>
    </font>
    <font>
      <sz val="12"/>
      <color indexed="43"/>
      <name val="ＭＳ ゴシック"/>
      <family val="3"/>
    </font>
    <font>
      <sz val="6"/>
      <color indexed="41"/>
      <name val="ＭＳ ゴシック"/>
      <family val="3"/>
    </font>
    <font>
      <sz val="12"/>
      <color indexed="41"/>
      <name val="ＭＳ ゴシック"/>
      <family val="3"/>
    </font>
    <font>
      <sz val="9"/>
      <color indexed="9"/>
      <name val="ＭＳ ゴシック"/>
      <family val="3"/>
    </font>
    <font>
      <b/>
      <sz val="10"/>
      <color indexed="12"/>
      <name val="ＭＳ ゴシック"/>
      <family val="3"/>
    </font>
    <font>
      <sz val="24"/>
      <color indexed="13"/>
      <name val="ＭＳ ゴシック"/>
      <family val="3"/>
    </font>
    <font>
      <b/>
      <sz val="9"/>
      <color indexed="9"/>
      <name val="ＭＳ ゴシック"/>
      <family val="3"/>
    </font>
    <font>
      <u val="single"/>
      <sz val="12"/>
      <color indexed="12"/>
      <name val="ＭＳ ゴシック"/>
      <family val="3"/>
    </font>
    <font>
      <u val="single"/>
      <sz val="12"/>
      <color indexed="36"/>
      <name val="ＭＳ ゴシック"/>
      <family val="3"/>
    </font>
    <font>
      <sz val="10"/>
      <name val="ＭＳ Ｐゴシック"/>
      <family val="3"/>
    </font>
    <font>
      <b/>
      <sz val="10"/>
      <name val="ＭＳ Ｐゴシック"/>
      <family val="3"/>
    </font>
    <font>
      <b/>
      <sz val="11"/>
      <name val="ＭＳ Ｐゴシック"/>
      <family val="3"/>
    </font>
    <font>
      <sz val="12"/>
      <color indexed="8"/>
      <name val="ＭＳ ゴシック"/>
      <family val="3"/>
    </font>
    <font>
      <sz val="26"/>
      <color indexed="9"/>
      <name val="ＭＳ ゴシック"/>
      <family val="3"/>
    </font>
    <font>
      <sz val="26"/>
      <name val="ＭＳ ゴシック"/>
      <family val="3"/>
    </font>
    <font>
      <b/>
      <sz val="18"/>
      <name val="ＭＳ ゴシック"/>
      <family val="3"/>
    </font>
    <font>
      <sz val="10"/>
      <color indexed="13"/>
      <name val="ＭＳ ゴシック"/>
      <family val="3"/>
    </font>
    <font>
      <b/>
      <sz val="8"/>
      <name val="ＭＳ ゴシック"/>
      <family val="2"/>
    </font>
  </fonts>
  <fills count="43">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
      <patternFill patternType="solid">
        <fgColor indexed="10"/>
        <bgColor indexed="64"/>
      </patternFill>
    </fill>
    <fill>
      <patternFill patternType="solid">
        <fgColor indexed="47"/>
        <bgColor indexed="64"/>
      </patternFill>
    </fill>
    <fill>
      <patternFill patternType="solid">
        <fgColor indexed="60"/>
        <bgColor indexed="64"/>
      </patternFill>
    </fill>
    <fill>
      <patternFill patternType="solid">
        <fgColor indexed="52"/>
        <bgColor indexed="64"/>
      </patternFill>
    </fill>
    <fill>
      <patternFill patternType="gray0625">
        <fgColor indexed="8"/>
        <bgColor indexed="43"/>
      </patternFill>
    </fill>
    <fill>
      <patternFill patternType="lightUp">
        <fgColor indexed="8"/>
      </patternFill>
    </fill>
    <fill>
      <patternFill patternType="solid">
        <fgColor indexed="22"/>
        <bgColor indexed="64"/>
      </patternFill>
    </fill>
    <fill>
      <patternFill patternType="solid">
        <fgColor indexed="17"/>
        <bgColor indexed="64"/>
      </patternFill>
    </fill>
    <fill>
      <patternFill patternType="solid">
        <fgColor indexed="46"/>
        <bgColor indexed="64"/>
      </patternFill>
    </fill>
    <fill>
      <patternFill patternType="lightUp"/>
    </fill>
    <fill>
      <patternFill patternType="solid">
        <fgColor indexed="12"/>
        <bgColor indexed="64"/>
      </patternFill>
    </fill>
    <fill>
      <patternFill patternType="gray125">
        <fgColor indexed="8"/>
      </patternFill>
    </fill>
    <fill>
      <patternFill patternType="gray125">
        <fgColor indexed="8"/>
        <bgColor indexed="22"/>
      </patternFill>
    </fill>
    <fill>
      <patternFill patternType="lightUp">
        <bgColor indexed="11"/>
      </patternFill>
    </fill>
    <fill>
      <patternFill patternType="lightUp">
        <fgColor indexed="8"/>
        <bgColor indexed="43"/>
      </patternFill>
    </fill>
    <fill>
      <patternFill patternType="lightUp">
        <fgColor indexed="8"/>
        <bgColor indexed="11"/>
      </patternFill>
    </fill>
    <fill>
      <patternFill patternType="lightUp">
        <fgColor indexed="8"/>
        <bgColor indexed="8"/>
      </patternFill>
    </fill>
    <fill>
      <patternFill patternType="solid">
        <fgColor indexed="5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lightUp">
        <fgColor indexed="8"/>
        <bgColor indexed="10"/>
      </patternFill>
    </fill>
    <fill>
      <patternFill patternType="lightUp">
        <fgColor indexed="8"/>
        <bgColor indexed="52"/>
      </patternFill>
    </fill>
    <fill>
      <patternFill patternType="lightUp">
        <fgColor indexed="8"/>
        <bgColor indexed="41"/>
      </patternFill>
    </fill>
    <fill>
      <patternFill patternType="lightUp">
        <fgColor indexed="8"/>
        <bgColor indexed="45"/>
      </patternFill>
    </fill>
    <fill>
      <patternFill patternType="lightUp">
        <fgColor indexed="8"/>
        <bgColor indexed="47"/>
      </patternFill>
    </fill>
    <fill>
      <patternFill patternType="lightUp">
        <fgColor indexed="8"/>
        <bgColor indexed="46"/>
      </patternFill>
    </fill>
    <fill>
      <patternFill patternType="lightUp">
        <fgColor indexed="8"/>
        <bgColor indexed="42"/>
      </patternFill>
    </fill>
    <fill>
      <patternFill patternType="lightUp">
        <fgColor indexed="8"/>
        <bgColor indexed="14"/>
      </patternFill>
    </fill>
    <fill>
      <patternFill patternType="gray125">
        <fgColor indexed="8"/>
        <bgColor indexed="14"/>
      </patternFill>
    </fill>
  </fills>
  <borders count="9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ck">
        <color indexed="10"/>
      </top>
      <bottom style="thin"/>
    </border>
    <border>
      <left style="thin"/>
      <right style="thick">
        <color indexed="10"/>
      </right>
      <top style="thick">
        <color indexed="10"/>
      </top>
      <bottom style="thin"/>
    </border>
    <border>
      <left style="thin"/>
      <right style="thick">
        <color indexed="10"/>
      </right>
      <top style="thin"/>
      <bottom style="thin"/>
    </border>
    <border>
      <left style="thin"/>
      <right style="thin"/>
      <top style="thin"/>
      <bottom style="thick">
        <color indexed="10"/>
      </bottom>
    </border>
    <border>
      <left style="thin"/>
      <right style="thick">
        <color indexed="10"/>
      </right>
      <top style="thin"/>
      <bottom style="thick">
        <color indexed="10"/>
      </bottom>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style="medium"/>
      <right style="medium"/>
      <top style="medium"/>
      <bottom style="thin"/>
    </border>
    <border>
      <left style="medium"/>
      <right style="medium"/>
      <top style="thin"/>
      <bottom style="medium"/>
    </border>
    <border>
      <left style="thin"/>
      <right style="thin"/>
      <top style="thin"/>
      <bottom>
        <color indexed="63"/>
      </bottom>
    </border>
    <border>
      <left style="medium"/>
      <right style="medium"/>
      <top style="thin"/>
      <bottom style="thin"/>
    </border>
    <border>
      <left style="medium"/>
      <right style="medium"/>
      <top>
        <color indexed="63"/>
      </top>
      <bottom style="thin"/>
    </border>
    <border>
      <left style="thin"/>
      <right>
        <color indexed="63"/>
      </right>
      <top>
        <color indexed="63"/>
      </top>
      <bottom>
        <color indexed="63"/>
      </bottom>
    </border>
    <border>
      <left style="medium"/>
      <right style="medium"/>
      <top style="medium"/>
      <bottom style="medium"/>
    </border>
    <border>
      <left style="thin"/>
      <right style="thin"/>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medium"/>
      <bottom style="thin"/>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style="thin"/>
      <top style="medium"/>
      <bottom>
        <color indexed="63"/>
      </bottom>
    </border>
    <border>
      <left style="thin"/>
      <right>
        <color indexed="63"/>
      </right>
      <top style="thin"/>
      <bottom style="medium"/>
    </border>
    <border>
      <left style="medium"/>
      <right style="medium"/>
      <top>
        <color indexed="63"/>
      </top>
      <bottom style="medium"/>
    </border>
    <border>
      <left style="thick">
        <color indexed="14"/>
      </left>
      <right style="thick">
        <color indexed="14"/>
      </right>
      <top style="thick">
        <color indexed="14"/>
      </top>
      <bottom style="thick">
        <color indexed="14"/>
      </bottom>
    </border>
    <border>
      <left style="thick">
        <color indexed="10"/>
      </left>
      <right style="thick">
        <color indexed="10"/>
      </right>
      <top style="thick">
        <color indexed="10"/>
      </top>
      <bottom style="thick">
        <color indexed="10"/>
      </bottom>
    </border>
    <border>
      <left style="thick">
        <color indexed="12"/>
      </left>
      <right style="thick">
        <color indexed="12"/>
      </right>
      <top style="thick">
        <color indexed="12"/>
      </top>
      <bottom style="thick">
        <color indexed="12"/>
      </bottom>
    </border>
    <border>
      <left style="thick">
        <color indexed="12"/>
      </left>
      <right style="thick">
        <color indexed="12"/>
      </right>
      <top>
        <color indexed="63"/>
      </top>
      <bottom>
        <color indexed="63"/>
      </bottom>
    </border>
    <border>
      <left style="thin">
        <color indexed="11"/>
      </left>
      <right style="thin">
        <color indexed="11"/>
      </right>
      <top style="thin">
        <color indexed="11"/>
      </top>
      <bottom style="thin">
        <color indexed="11"/>
      </bottom>
    </border>
    <border>
      <left>
        <color indexed="63"/>
      </left>
      <right>
        <color indexed="63"/>
      </right>
      <top>
        <color indexed="63"/>
      </top>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medium"/>
      <right style="thin"/>
      <top>
        <color indexed="63"/>
      </top>
      <bottom style="medium"/>
    </border>
    <border>
      <left style="thin"/>
      <right>
        <color indexed="63"/>
      </right>
      <top>
        <color indexed="63"/>
      </top>
      <bottom style="thin"/>
    </border>
    <border>
      <left style="thin"/>
      <right>
        <color indexed="63"/>
      </right>
      <top style="thin"/>
      <bottom style="thick">
        <color indexed="10"/>
      </bottom>
    </border>
    <border>
      <left>
        <color indexed="63"/>
      </left>
      <right style="thin"/>
      <top style="thin"/>
      <bottom>
        <color indexed="63"/>
      </bottom>
    </border>
    <border>
      <left style="thin"/>
      <right style="thin"/>
      <top style="thin"/>
      <bottom style="medium">
        <color indexed="10"/>
      </bottom>
    </border>
    <border>
      <left>
        <color indexed="63"/>
      </left>
      <right style="medium"/>
      <top style="thin"/>
      <bottom style="thin"/>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medium"/>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medium"/>
      <bottom>
        <color indexed="63"/>
      </bottom>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0" borderId="0" applyNumberFormat="0" applyFill="0" applyBorder="0" applyAlignment="0" applyProtection="0"/>
  </cellStyleXfs>
  <cellXfs count="792">
    <xf numFmtId="0" fontId="0" fillId="0" borderId="0" xfId="0" applyAlignment="1">
      <alignment vertical="center"/>
    </xf>
    <xf numFmtId="0" fontId="0" fillId="0" borderId="1"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2" borderId="2" xfId="0"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 xfId="0" applyBorder="1" applyAlignment="1" applyProtection="1">
      <alignment vertical="center"/>
      <protection/>
    </xf>
    <xf numFmtId="0" fontId="0" fillId="0" borderId="2" xfId="0"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3" borderId="1"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 xfId="0" applyBorder="1" applyAlignment="1" applyProtection="1">
      <alignment vertical="center"/>
      <protection/>
    </xf>
    <xf numFmtId="49" fontId="4"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0" fillId="0" borderId="0" xfId="0" applyNumberFormat="1" applyAlignment="1" applyProtection="1">
      <alignment vertical="center"/>
      <protection/>
    </xf>
    <xf numFmtId="49" fontId="0" fillId="0" borderId="6" xfId="0" applyNumberFormat="1" applyBorder="1" applyAlignment="1" applyProtection="1">
      <alignment vertical="center"/>
      <protection/>
    </xf>
    <xf numFmtId="49" fontId="0" fillId="4" borderId="7" xfId="0" applyNumberFormat="1" applyFill="1" applyBorder="1" applyAlignment="1" applyProtection="1">
      <alignment horizontal="center" vertical="center"/>
      <protection/>
    </xf>
    <xf numFmtId="49" fontId="0" fillId="4" borderId="8" xfId="0" applyNumberFormat="1" applyFill="1" applyBorder="1" applyAlignment="1" applyProtection="1">
      <alignment horizontal="center" vertical="center"/>
      <protection/>
    </xf>
    <xf numFmtId="49" fontId="0" fillId="5" borderId="2" xfId="0" applyNumberFormat="1" applyFill="1" applyBorder="1" applyAlignment="1" applyProtection="1">
      <alignment horizontal="center" vertical="center"/>
      <protection/>
    </xf>
    <xf numFmtId="49" fontId="0" fillId="6" borderId="1" xfId="0" applyNumberFormat="1" applyFill="1" applyBorder="1" applyAlignment="1" applyProtection="1">
      <alignment horizontal="center" vertical="center"/>
      <protection/>
    </xf>
    <xf numFmtId="49" fontId="0" fillId="7" borderId="1" xfId="0" applyNumberFormat="1" applyFill="1" applyBorder="1" applyAlignment="1" applyProtection="1">
      <alignment horizontal="center" vertical="center"/>
      <protection/>
    </xf>
    <xf numFmtId="49" fontId="0" fillId="7" borderId="3" xfId="0" applyNumberFormat="1" applyFill="1" applyBorder="1" applyAlignment="1" applyProtection="1">
      <alignment horizontal="center" vertical="center"/>
      <protection/>
    </xf>
    <xf numFmtId="49" fontId="0" fillId="8" borderId="1" xfId="0" applyNumberFormat="1" applyFill="1" applyBorder="1" applyAlignment="1" applyProtection="1">
      <alignment horizontal="center" vertical="center"/>
      <protection/>
    </xf>
    <xf numFmtId="49" fontId="0" fillId="5" borderId="4" xfId="0" applyNumberFormat="1" applyFill="1" applyBorder="1" applyAlignment="1" applyProtection="1">
      <alignment horizontal="center" vertical="center"/>
      <protection/>
    </xf>
    <xf numFmtId="49" fontId="0" fillId="8" borderId="9" xfId="0" applyNumberFormat="1" applyFill="1" applyBorder="1" applyAlignment="1" applyProtection="1">
      <alignment horizontal="center" vertical="center"/>
      <protection/>
    </xf>
    <xf numFmtId="49" fontId="0" fillId="6" borderId="5" xfId="0" applyNumberFormat="1" applyFill="1" applyBorder="1" applyAlignment="1" applyProtection="1">
      <alignment horizontal="center" vertical="center"/>
      <protection/>
    </xf>
    <xf numFmtId="49" fontId="0" fillId="7" borderId="1" xfId="0" applyNumberFormat="1" applyFill="1" applyBorder="1" applyAlignment="1" applyProtection="1">
      <alignment vertical="center"/>
      <protection/>
    </xf>
    <xf numFmtId="49" fontId="0" fillId="8" borderId="1"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1" xfId="0" applyNumberFormat="1" applyBorder="1" applyAlignment="1" applyProtection="1">
      <alignment vertical="center"/>
      <protection/>
    </xf>
    <xf numFmtId="49" fontId="0" fillId="0" borderId="0" xfId="0" applyNumberFormat="1" applyBorder="1" applyAlignment="1" applyProtection="1">
      <alignment vertical="center"/>
      <protection/>
    </xf>
    <xf numFmtId="0" fontId="0" fillId="3" borderId="1" xfId="0" applyFill="1" applyBorder="1" applyAlignment="1" applyProtection="1">
      <alignment horizontal="left" vertical="center"/>
      <protection/>
    </xf>
    <xf numFmtId="0" fontId="0" fillId="9" borderId="1" xfId="0"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horizontal="center"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center" vertical="center"/>
      <protection/>
    </xf>
    <xf numFmtId="0" fontId="0" fillId="8" borderId="10"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8" borderId="12" xfId="0" applyFill="1"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0" fillId="8" borderId="14" xfId="0" applyFill="1" applyBorder="1" applyAlignment="1" applyProtection="1">
      <alignment horizontal="center" vertical="center"/>
      <protection/>
    </xf>
    <xf numFmtId="0" fontId="0" fillId="8" borderId="0" xfId="0" applyFill="1" applyBorder="1" applyAlignment="1" applyProtection="1">
      <alignment horizontal="center" vertical="center"/>
      <protection/>
    </xf>
    <xf numFmtId="0" fontId="0" fillId="8" borderId="15" xfId="0" applyFill="1" applyBorder="1" applyAlignment="1" applyProtection="1">
      <alignment horizontal="center" vertical="center"/>
      <protection/>
    </xf>
    <xf numFmtId="0" fontId="0" fillId="8" borderId="16" xfId="0" applyFill="1" applyBorder="1" applyAlignment="1" applyProtection="1">
      <alignment horizontal="center" vertical="center"/>
      <protection/>
    </xf>
    <xf numFmtId="0" fontId="0" fillId="8" borderId="17" xfId="0" applyFill="1"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0" fontId="0" fillId="0" borderId="0" xfId="0" applyFill="1" applyBorder="1" applyAlignment="1" applyProtection="1">
      <alignment vertical="center"/>
      <protection/>
    </xf>
    <xf numFmtId="176" fontId="0" fillId="0" borderId="0" xfId="0" applyNumberFormat="1" applyFill="1" applyBorder="1" applyAlignment="1" applyProtection="1">
      <alignment vertical="center"/>
      <protection/>
    </xf>
    <xf numFmtId="177" fontId="0" fillId="0" borderId="0" xfId="0" applyNumberFormat="1" applyFill="1" applyBorder="1" applyAlignment="1" applyProtection="1">
      <alignment vertical="center"/>
      <protection/>
    </xf>
    <xf numFmtId="178" fontId="0" fillId="0" borderId="1" xfId="0" applyNumberFormat="1" applyBorder="1" applyAlignment="1" applyProtection="1">
      <alignment vertical="center"/>
      <protection locked="0"/>
    </xf>
    <xf numFmtId="49" fontId="8" fillId="8" borderId="0" xfId="0" applyNumberFormat="1" applyFont="1" applyFill="1" applyAlignment="1">
      <alignment vertical="center"/>
    </xf>
    <xf numFmtId="49" fontId="8" fillId="0" borderId="0" xfId="0" applyNumberFormat="1" applyFont="1" applyAlignment="1">
      <alignment vertical="center"/>
    </xf>
    <xf numFmtId="49" fontId="9" fillId="8" borderId="0" xfId="0" applyNumberFormat="1" applyFont="1" applyFill="1" applyAlignment="1">
      <alignment vertical="center"/>
    </xf>
    <xf numFmtId="49" fontId="10" fillId="8" borderId="0" xfId="0" applyNumberFormat="1" applyFont="1" applyFill="1" applyAlignment="1">
      <alignment vertical="center"/>
    </xf>
    <xf numFmtId="49" fontId="0" fillId="0" borderId="18" xfId="0" applyNumberFormat="1" applyBorder="1" applyAlignment="1" applyProtection="1">
      <alignment vertical="center"/>
      <protection/>
    </xf>
    <xf numFmtId="49" fontId="0" fillId="0" borderId="19" xfId="0" applyNumberFormat="1" applyBorder="1" applyAlignment="1" applyProtection="1">
      <alignment vertical="center"/>
      <protection/>
    </xf>
    <xf numFmtId="49" fontId="0" fillId="0" borderId="20" xfId="0" applyNumberFormat="1" applyBorder="1" applyAlignment="1" applyProtection="1">
      <alignment vertical="center"/>
      <protection/>
    </xf>
    <xf numFmtId="0" fontId="0" fillId="9" borderId="0" xfId="0" applyFill="1" applyAlignment="1" applyProtection="1">
      <alignment vertical="center"/>
      <protection/>
    </xf>
    <xf numFmtId="0" fontId="0" fillId="2" borderId="6" xfId="0" applyFill="1" applyBorder="1" applyAlignment="1" applyProtection="1">
      <alignment horizontal="center" vertical="center"/>
      <protection/>
    </xf>
    <xf numFmtId="0" fontId="0" fillId="2" borderId="7"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7" borderId="0" xfId="0" applyFill="1" applyAlignment="1" applyProtection="1">
      <alignment vertical="center"/>
      <protection/>
    </xf>
    <xf numFmtId="0" fontId="0" fillId="8" borderId="0" xfId="0" applyFill="1" applyAlignment="1" applyProtection="1">
      <alignment vertical="center"/>
      <protection/>
    </xf>
    <xf numFmtId="0" fontId="0" fillId="6" borderId="0" xfId="0" applyFill="1" applyAlignment="1" applyProtection="1">
      <alignment vertical="center"/>
      <protection/>
    </xf>
    <xf numFmtId="0" fontId="0" fillId="9" borderId="1" xfId="0" applyFill="1" applyBorder="1" applyAlignment="1" applyProtection="1">
      <alignment vertical="center"/>
      <protection/>
    </xf>
    <xf numFmtId="0" fontId="0" fillId="7" borderId="1" xfId="0" applyFill="1" applyBorder="1" applyAlignment="1" applyProtection="1">
      <alignment vertical="center"/>
      <protection/>
    </xf>
    <xf numFmtId="0" fontId="0" fillId="8" borderId="1" xfId="0" applyFill="1" applyBorder="1" applyAlignment="1" applyProtection="1">
      <alignment vertical="center"/>
      <protection/>
    </xf>
    <xf numFmtId="0" fontId="0" fillId="6" borderId="1" xfId="0" applyFill="1" applyBorder="1" applyAlignment="1" applyProtection="1">
      <alignment vertical="center"/>
      <protection/>
    </xf>
    <xf numFmtId="0" fontId="0" fillId="3" borderId="21" xfId="0" applyFill="1" applyBorder="1" applyAlignment="1" applyProtection="1">
      <alignment horizontal="center" vertical="center"/>
      <protection/>
    </xf>
    <xf numFmtId="0" fontId="0" fillId="3" borderId="22" xfId="0"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3" borderId="23"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horizontal="center" vertical="center"/>
      <protection/>
    </xf>
    <xf numFmtId="0" fontId="0" fillId="9" borderId="26" xfId="0" applyFill="1" applyBorder="1" applyAlignment="1" applyProtection="1">
      <alignment vertical="center"/>
      <protection/>
    </xf>
    <xf numFmtId="0" fontId="0" fillId="9" borderId="27" xfId="0" applyFill="1" applyBorder="1" applyAlignment="1" applyProtection="1">
      <alignment vertical="center"/>
      <protection/>
    </xf>
    <xf numFmtId="0" fontId="0" fillId="9" borderId="28" xfId="0" applyFill="1" applyBorder="1" applyAlignment="1" applyProtection="1">
      <alignment vertical="center"/>
      <protection/>
    </xf>
    <xf numFmtId="0" fontId="0" fillId="7" borderId="26" xfId="0" applyFill="1" applyBorder="1" applyAlignment="1" applyProtection="1">
      <alignment vertical="center"/>
      <protection/>
    </xf>
    <xf numFmtId="0" fontId="0" fillId="7" borderId="27" xfId="0" applyFill="1" applyBorder="1" applyAlignment="1" applyProtection="1">
      <alignment vertical="center"/>
      <protection/>
    </xf>
    <xf numFmtId="0" fontId="0" fillId="7" borderId="28" xfId="0" applyFill="1" applyBorder="1" applyAlignment="1" applyProtection="1">
      <alignment vertical="center"/>
      <protection/>
    </xf>
    <xf numFmtId="0" fontId="0" fillId="8" borderId="26" xfId="0" applyFill="1" applyBorder="1" applyAlignment="1" applyProtection="1">
      <alignment vertical="center"/>
      <protection/>
    </xf>
    <xf numFmtId="0" fontId="0" fillId="8" borderId="27" xfId="0" applyFill="1" applyBorder="1" applyAlignment="1" applyProtection="1">
      <alignment vertical="center"/>
      <protection/>
    </xf>
    <xf numFmtId="0" fontId="0" fillId="8" borderId="28" xfId="0" applyFill="1" applyBorder="1" applyAlignment="1" applyProtection="1">
      <alignment vertical="center"/>
      <protection/>
    </xf>
    <xf numFmtId="0" fontId="0" fillId="6" borderId="26" xfId="0" applyFill="1" applyBorder="1" applyAlignment="1" applyProtection="1">
      <alignment vertical="center"/>
      <protection/>
    </xf>
    <xf numFmtId="0" fontId="0" fillId="6" borderId="27" xfId="0" applyFill="1" applyBorder="1" applyAlignment="1" applyProtection="1">
      <alignment vertical="center"/>
      <protection/>
    </xf>
    <xf numFmtId="0" fontId="0" fillId="6" borderId="28" xfId="0" applyFill="1"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178" fontId="0" fillId="0" borderId="0" xfId="0" applyNumberFormat="1" applyBorder="1" applyAlignment="1" applyProtection="1">
      <alignment vertical="center"/>
      <protection locked="0"/>
    </xf>
    <xf numFmtId="0" fontId="0" fillId="0" borderId="0" xfId="0" applyBorder="1" applyAlignment="1" applyProtection="1">
      <alignment horizontal="center" vertical="center"/>
      <protection locked="0"/>
    </xf>
    <xf numFmtId="176" fontId="12" fillId="0" borderId="29" xfId="0" applyNumberFormat="1" applyFont="1" applyBorder="1" applyAlignment="1">
      <alignment vertical="center"/>
    </xf>
    <xf numFmtId="176" fontId="12" fillId="0" borderId="7" xfId="0" applyNumberFormat="1" applyFont="1" applyBorder="1" applyAlignment="1">
      <alignment vertical="center"/>
    </xf>
    <xf numFmtId="176" fontId="12" fillId="0" borderId="30" xfId="0" applyNumberFormat="1" applyFont="1" applyBorder="1" applyAlignment="1">
      <alignment vertical="center"/>
    </xf>
    <xf numFmtId="176" fontId="12" fillId="0" borderId="9" xfId="0" applyNumberFormat="1" applyFont="1" applyBorder="1" applyAlignment="1">
      <alignment vertical="center"/>
    </xf>
    <xf numFmtId="0" fontId="0" fillId="7" borderId="9" xfId="0" applyFill="1" applyBorder="1" applyAlignment="1">
      <alignment horizontal="center" vertical="center"/>
    </xf>
    <xf numFmtId="0" fontId="0" fillId="8" borderId="9" xfId="0" applyFill="1" applyBorder="1" applyAlignment="1">
      <alignment horizontal="center" vertical="center"/>
    </xf>
    <xf numFmtId="0" fontId="0" fillId="6" borderId="9" xfId="0" applyFill="1" applyBorder="1" applyAlignment="1">
      <alignment horizontal="center" vertical="center"/>
    </xf>
    <xf numFmtId="0" fontId="13" fillId="10" borderId="5" xfId="0" applyFont="1" applyFill="1" applyBorder="1" applyAlignment="1">
      <alignment horizontal="center" vertical="center"/>
    </xf>
    <xf numFmtId="0" fontId="13" fillId="10" borderId="31" xfId="0" applyFont="1" applyFill="1" applyBorder="1" applyAlignment="1">
      <alignment horizontal="center" vertical="center"/>
    </xf>
    <xf numFmtId="0" fontId="0" fillId="4" borderId="32" xfId="0" applyFill="1" applyBorder="1" applyAlignment="1">
      <alignment vertical="center"/>
    </xf>
    <xf numFmtId="0" fontId="0" fillId="4" borderId="33" xfId="0" applyFill="1" applyBorder="1" applyAlignment="1">
      <alignment vertical="center"/>
    </xf>
    <xf numFmtId="0" fontId="0" fillId="9" borderId="9" xfId="0" applyFill="1" applyBorder="1" applyAlignment="1">
      <alignment horizontal="center" vertical="center"/>
    </xf>
    <xf numFmtId="49" fontId="0" fillId="0" borderId="34" xfId="0" applyNumberFormat="1" applyBorder="1" applyAlignment="1" applyProtection="1">
      <alignment vertical="center"/>
      <protection/>
    </xf>
    <xf numFmtId="0" fontId="2" fillId="0" borderId="0" xfId="0" applyFont="1" applyAlignment="1">
      <alignment vertical="center"/>
    </xf>
    <xf numFmtId="0" fontId="0" fillId="3" borderId="1" xfId="0" applyFill="1" applyBorder="1" applyAlignment="1">
      <alignment horizontal="center" vertical="center"/>
    </xf>
    <xf numFmtId="0" fontId="0" fillId="0" borderId="0" xfId="0" applyBorder="1" applyAlignment="1">
      <alignment vertical="center"/>
    </xf>
    <xf numFmtId="0" fontId="24" fillId="0" borderId="1" xfId="0" applyFont="1" applyBorder="1" applyAlignment="1">
      <alignment horizontal="center" vertical="center"/>
    </xf>
    <xf numFmtId="0" fontId="24" fillId="0" borderId="35" xfId="0" applyFont="1" applyBorder="1" applyAlignment="1">
      <alignment horizontal="center" vertical="center"/>
    </xf>
    <xf numFmtId="180" fontId="24" fillId="0" borderId="35" xfId="0" applyNumberFormat="1" applyFont="1" applyBorder="1" applyAlignment="1">
      <alignment vertical="center"/>
    </xf>
    <xf numFmtId="0" fontId="25" fillId="11" borderId="32" xfId="0" applyFont="1" applyFill="1" applyBorder="1" applyAlignment="1">
      <alignment horizontal="center" vertical="center"/>
    </xf>
    <xf numFmtId="0" fontId="0" fillId="0" borderId="0" xfId="0" applyAlignment="1" applyProtection="1">
      <alignment horizontal="right" vertical="center"/>
      <protection/>
    </xf>
    <xf numFmtId="0" fontId="4" fillId="0" borderId="0" xfId="0" applyFont="1" applyAlignment="1">
      <alignment vertical="center"/>
    </xf>
    <xf numFmtId="176" fontId="0" fillId="0" borderId="0" xfId="0" applyNumberFormat="1" applyBorder="1" applyAlignment="1" applyProtection="1" quotePrefix="1">
      <alignment horizontal="center" vertical="center"/>
      <protection/>
    </xf>
    <xf numFmtId="181" fontId="0" fillId="0" borderId="1" xfId="0" applyNumberFormat="1" applyBorder="1" applyAlignment="1">
      <alignment vertical="center"/>
    </xf>
    <xf numFmtId="0" fontId="2" fillId="4" borderId="36" xfId="0" applyFont="1" applyFill="1" applyBorder="1" applyAlignment="1">
      <alignment vertical="center"/>
    </xf>
    <xf numFmtId="178" fontId="0" fillId="0" borderId="37" xfId="0" applyNumberFormat="1" applyBorder="1" applyAlignment="1" applyProtection="1">
      <alignment horizontal="center" vertical="center"/>
      <protection/>
    </xf>
    <xf numFmtId="0" fontId="0" fillId="7" borderId="12" xfId="0" applyFill="1" applyBorder="1" applyAlignment="1" applyProtection="1">
      <alignment horizontal="center" vertical="center"/>
      <protection/>
    </xf>
    <xf numFmtId="0" fontId="0" fillId="7" borderId="10" xfId="0" applyFill="1" applyBorder="1" applyAlignment="1" applyProtection="1">
      <alignment horizontal="center" vertical="center"/>
      <protection/>
    </xf>
    <xf numFmtId="0" fontId="0" fillId="7" borderId="13" xfId="0"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0" fillId="7" borderId="14" xfId="0" applyFill="1" applyBorder="1" applyAlignment="1" applyProtection="1">
      <alignment horizontal="center" vertical="center"/>
      <protection/>
    </xf>
    <xf numFmtId="0" fontId="0" fillId="7" borderId="16" xfId="0" applyFill="1" applyBorder="1" applyAlignment="1" applyProtection="1">
      <alignment horizontal="center" vertical="center"/>
      <protection/>
    </xf>
    <xf numFmtId="0" fontId="0" fillId="7" borderId="11" xfId="0" applyFill="1" applyBorder="1" applyAlignment="1" applyProtection="1">
      <alignment horizontal="center" vertical="center"/>
      <protection/>
    </xf>
    <xf numFmtId="0" fontId="0" fillId="7" borderId="15" xfId="0" applyFill="1" applyBorder="1" applyAlignment="1" applyProtection="1">
      <alignment horizontal="center" vertical="center"/>
      <protection/>
    </xf>
    <xf numFmtId="0" fontId="0" fillId="7" borderId="17" xfId="0" applyFill="1" applyBorder="1" applyAlignment="1" applyProtection="1">
      <alignment horizontal="center" vertical="center"/>
      <protection/>
    </xf>
    <xf numFmtId="0" fontId="0" fillId="0" borderId="38" xfId="0" applyBorder="1" applyAlignment="1" applyProtection="1">
      <alignment vertical="center"/>
      <protection/>
    </xf>
    <xf numFmtId="177" fontId="0" fillId="0" borderId="0" xfId="0" applyNumberFormat="1" applyFill="1" applyBorder="1" applyAlignment="1" applyProtection="1">
      <alignment horizontal="center" vertical="center"/>
      <protection/>
    </xf>
    <xf numFmtId="176" fontId="0" fillId="0" borderId="0" xfId="0" applyNumberFormat="1" applyBorder="1" applyAlignment="1" applyProtection="1">
      <alignment horizontal="left" vertical="center"/>
      <protection/>
    </xf>
    <xf numFmtId="176" fontId="0" fillId="9" borderId="38" xfId="0" applyNumberFormat="1" applyFill="1" applyBorder="1" applyAlignment="1" applyProtection="1">
      <alignment vertical="center"/>
      <protection/>
    </xf>
    <xf numFmtId="0" fontId="0" fillId="9" borderId="38" xfId="0" applyFill="1" applyBorder="1" applyAlignment="1" applyProtection="1">
      <alignment horizontal="center" vertical="center"/>
      <protection/>
    </xf>
    <xf numFmtId="0" fontId="26" fillId="0" borderId="0" xfId="0" applyFont="1" applyFill="1" applyAlignment="1">
      <alignment horizontal="center" vertical="center"/>
    </xf>
    <xf numFmtId="0" fontId="0" fillId="12" borderId="9" xfId="0" applyFill="1" applyBorder="1" applyAlignment="1">
      <alignment horizontal="center" vertical="center"/>
    </xf>
    <xf numFmtId="0" fontId="0" fillId="0" borderId="31" xfId="0" applyBorder="1" applyAlignment="1" applyProtection="1">
      <alignment horizontal="center" vertical="center"/>
      <protection/>
    </xf>
    <xf numFmtId="0" fontId="0" fillId="12" borderId="0" xfId="0" applyFill="1" applyAlignment="1" applyProtection="1">
      <alignment vertical="center"/>
      <protection/>
    </xf>
    <xf numFmtId="0" fontId="0" fillId="12" borderId="26" xfId="0" applyFill="1" applyBorder="1" applyAlignment="1" applyProtection="1">
      <alignment vertical="center"/>
      <protection/>
    </xf>
    <xf numFmtId="0" fontId="0" fillId="12" borderId="27" xfId="0" applyFill="1" applyBorder="1" applyAlignment="1" applyProtection="1">
      <alignment vertical="center"/>
      <protection/>
    </xf>
    <xf numFmtId="0" fontId="0" fillId="12" borderId="28" xfId="0" applyFill="1" applyBorder="1" applyAlignment="1" applyProtection="1">
      <alignment vertical="center"/>
      <protection/>
    </xf>
    <xf numFmtId="0" fontId="0" fillId="12" borderId="1" xfId="0" applyFill="1" applyBorder="1" applyAlignment="1" applyProtection="1">
      <alignment vertical="center"/>
      <protection/>
    </xf>
    <xf numFmtId="0" fontId="0" fillId="0" borderId="39" xfId="0" applyFill="1" applyBorder="1" applyAlignment="1" applyProtection="1">
      <alignment horizontal="center" vertical="center"/>
      <protection/>
    </xf>
    <xf numFmtId="0" fontId="0" fillId="0" borderId="40" xfId="0" applyBorder="1" applyAlignment="1" applyProtection="1">
      <alignment horizontal="center" vertical="center"/>
      <protection/>
    </xf>
    <xf numFmtId="178" fontId="0" fillId="4" borderId="1" xfId="0" applyNumberFormat="1" applyFill="1" applyBorder="1" applyAlignment="1" applyProtection="1">
      <alignment vertical="center"/>
      <protection locked="0"/>
    </xf>
    <xf numFmtId="0" fontId="0" fillId="4" borderId="1" xfId="0" applyFill="1" applyBorder="1" applyAlignment="1" applyProtection="1">
      <alignment horizontal="center" vertical="center"/>
      <protection locked="0"/>
    </xf>
    <xf numFmtId="0" fontId="25" fillId="11" borderId="1" xfId="0" applyFont="1" applyFill="1" applyBorder="1" applyAlignment="1" applyProtection="1">
      <alignment horizontal="center" vertical="center"/>
      <protection/>
    </xf>
    <xf numFmtId="0" fontId="13" fillId="13" borderId="1" xfId="0" applyFont="1" applyFill="1" applyBorder="1" applyAlignment="1" applyProtection="1">
      <alignment horizontal="center" vertical="center"/>
      <protection/>
    </xf>
    <xf numFmtId="0" fontId="33" fillId="9" borderId="1" xfId="0" applyFont="1" applyFill="1" applyBorder="1" applyAlignment="1" applyProtection="1">
      <alignment horizontal="center" vertical="center"/>
      <protection/>
    </xf>
    <xf numFmtId="0" fontId="25" fillId="11" borderId="18" xfId="0" applyFont="1" applyFill="1" applyBorder="1" applyAlignment="1" applyProtection="1">
      <alignment horizontal="center" vertical="center"/>
      <protection/>
    </xf>
    <xf numFmtId="0" fontId="35" fillId="0" borderId="1" xfId="0" applyFont="1" applyBorder="1" applyAlignment="1" applyProtection="1">
      <alignment horizontal="center" vertical="center"/>
      <protection/>
    </xf>
    <xf numFmtId="0" fontId="0" fillId="14" borderId="41" xfId="0" applyFill="1" applyBorder="1" applyAlignment="1" applyProtection="1">
      <alignment horizontal="center" vertical="center"/>
      <protection/>
    </xf>
    <xf numFmtId="0" fontId="0" fillId="9" borderId="42" xfId="0" applyFill="1" applyBorder="1" applyAlignment="1" applyProtection="1">
      <alignment horizontal="center" vertical="center"/>
      <protection/>
    </xf>
    <xf numFmtId="0" fontId="0" fillId="7" borderId="42" xfId="0" applyFill="1" applyBorder="1" applyAlignment="1" applyProtection="1">
      <alignment horizontal="center" vertical="center"/>
      <protection/>
    </xf>
    <xf numFmtId="0" fontId="0" fillId="8" borderId="42" xfId="0" applyFill="1" applyBorder="1" applyAlignment="1" applyProtection="1">
      <alignment horizontal="center" vertical="center"/>
      <protection/>
    </xf>
    <xf numFmtId="0" fontId="0" fillId="6" borderId="42" xfId="0" applyFill="1" applyBorder="1" applyAlignment="1" applyProtection="1">
      <alignment horizontal="center" vertical="center"/>
      <protection/>
    </xf>
    <xf numFmtId="0" fontId="0" fillId="12" borderId="42" xfId="0"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13" fillId="11" borderId="0" xfId="0" applyFont="1" applyFill="1" applyAlignment="1" applyProtection="1">
      <alignment horizontal="center" vertical="center"/>
      <protection/>
    </xf>
    <xf numFmtId="0" fontId="37"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0" fillId="0" borderId="38" xfId="0" applyBorder="1" applyAlignment="1" applyProtection="1">
      <alignment horizontal="center" vertical="center"/>
      <protection/>
    </xf>
    <xf numFmtId="0" fontId="0" fillId="4" borderId="44" xfId="0" applyFill="1" applyBorder="1" applyAlignment="1" applyProtection="1">
      <alignment horizontal="center" vertical="center"/>
      <protection/>
    </xf>
    <xf numFmtId="0" fontId="0" fillId="4" borderId="45" xfId="0" applyFill="1" applyBorder="1" applyAlignment="1" applyProtection="1">
      <alignment horizontal="center" vertical="center"/>
      <protection/>
    </xf>
    <xf numFmtId="0" fontId="0" fillId="5" borderId="36" xfId="0" applyFill="1" applyBorder="1" applyAlignment="1" applyProtection="1">
      <alignment horizontal="center" vertical="center"/>
      <protection/>
    </xf>
    <xf numFmtId="0" fontId="0" fillId="15" borderId="46" xfId="0" applyFill="1" applyBorder="1" applyAlignment="1" applyProtection="1">
      <alignment horizontal="center" vertical="center"/>
      <protection/>
    </xf>
    <xf numFmtId="0" fontId="0" fillId="16" borderId="20" xfId="0" applyFill="1" applyBorder="1" applyAlignment="1" applyProtection="1">
      <alignment horizontal="center" vertical="center"/>
      <protection/>
    </xf>
    <xf numFmtId="0" fontId="0" fillId="16" borderId="1" xfId="0" applyFill="1" applyBorder="1" applyAlignment="1" applyProtection="1">
      <alignment horizontal="center" vertical="center"/>
      <protection/>
    </xf>
    <xf numFmtId="0" fontId="0" fillId="5" borderId="33" xfId="0" applyFill="1" applyBorder="1" applyAlignment="1" applyProtection="1">
      <alignment horizontal="center" vertical="center"/>
      <protection/>
    </xf>
    <xf numFmtId="0" fontId="0" fillId="16" borderId="9" xfId="0"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5" fillId="2" borderId="47" xfId="0" applyFont="1" applyFill="1" applyBorder="1" applyAlignment="1" applyProtection="1">
      <alignment horizontal="left"/>
      <protection/>
    </xf>
    <xf numFmtId="0" fontId="0" fillId="2" borderId="45" xfId="0" applyFill="1" applyBorder="1" applyAlignment="1" applyProtection="1">
      <alignment horizontal="center" vertical="center"/>
      <protection/>
    </xf>
    <xf numFmtId="0" fontId="0" fillId="17" borderId="45" xfId="0" applyFill="1" applyBorder="1" applyAlignment="1" applyProtection="1">
      <alignment horizontal="center" vertical="center"/>
      <protection/>
    </xf>
    <xf numFmtId="0" fontId="0" fillId="17" borderId="48" xfId="0" applyFill="1" applyBorder="1" applyAlignment="1" applyProtection="1">
      <alignment vertical="center"/>
      <protection/>
    </xf>
    <xf numFmtId="0" fontId="0" fillId="14" borderId="6" xfId="0" applyFill="1" applyBorder="1" applyAlignment="1" applyProtection="1">
      <alignment horizontal="center" vertical="center"/>
      <protection/>
    </xf>
    <xf numFmtId="0" fontId="0" fillId="17" borderId="7" xfId="0" applyFill="1" applyBorder="1" applyAlignment="1" applyProtection="1">
      <alignment horizontal="center" vertical="center"/>
      <protection/>
    </xf>
    <xf numFmtId="0" fontId="0" fillId="17" borderId="49" xfId="0" applyFill="1" applyBorder="1" applyAlignment="1" applyProtection="1">
      <alignment vertical="center"/>
      <protection/>
    </xf>
    <xf numFmtId="0" fontId="0" fillId="0" borderId="8" xfId="0" applyBorder="1" applyAlignment="1" applyProtection="1">
      <alignment horizontal="center" vertical="center"/>
      <protection/>
    </xf>
    <xf numFmtId="0" fontId="0" fillId="9" borderId="2" xfId="0" applyFill="1" applyBorder="1" applyAlignment="1" applyProtection="1">
      <alignment horizontal="center" vertical="center"/>
      <protection/>
    </xf>
    <xf numFmtId="0" fontId="0" fillId="17" borderId="1" xfId="0" applyFill="1" applyBorder="1" applyAlignment="1" applyProtection="1">
      <alignment horizontal="center" vertical="center"/>
      <protection/>
    </xf>
    <xf numFmtId="0" fontId="0" fillId="17" borderId="18" xfId="0" applyFill="1" applyBorder="1" applyAlignment="1" applyProtection="1">
      <alignment vertical="center"/>
      <protection/>
    </xf>
    <xf numFmtId="0" fontId="0" fillId="7" borderId="2" xfId="0" applyFill="1" applyBorder="1" applyAlignment="1" applyProtection="1">
      <alignment horizontal="center" vertical="center"/>
      <protection/>
    </xf>
    <xf numFmtId="0" fontId="0" fillId="8" borderId="2" xfId="0" applyFill="1" applyBorder="1" applyAlignment="1" applyProtection="1">
      <alignment horizontal="center" vertical="center"/>
      <protection/>
    </xf>
    <xf numFmtId="0" fontId="0" fillId="6" borderId="2" xfId="0" applyFill="1" applyBorder="1" applyAlignment="1" applyProtection="1">
      <alignment horizontal="center" vertical="center"/>
      <protection/>
    </xf>
    <xf numFmtId="0" fontId="0" fillId="12" borderId="2" xfId="0" applyFill="1" applyBorder="1" applyAlignment="1" applyProtection="1">
      <alignment horizontal="center" vertical="center"/>
      <protection/>
    </xf>
    <xf numFmtId="0" fontId="0" fillId="0" borderId="50" xfId="0" applyBorder="1" applyAlignment="1" applyProtection="1">
      <alignment horizontal="center" vertical="center"/>
      <protection/>
    </xf>
    <xf numFmtId="0" fontId="0" fillId="17" borderId="50" xfId="0" applyFill="1" applyBorder="1" applyAlignment="1" applyProtection="1">
      <alignment horizontal="center" vertical="center"/>
      <protection/>
    </xf>
    <xf numFmtId="0" fontId="0" fillId="17" borderId="50" xfId="0" applyFill="1" applyBorder="1" applyAlignment="1" applyProtection="1">
      <alignment vertical="center"/>
      <protection/>
    </xf>
    <xf numFmtId="0" fontId="0" fillId="0" borderId="51" xfId="0" applyBorder="1" applyAlignment="1" applyProtection="1">
      <alignment horizontal="center" vertical="center"/>
      <protection/>
    </xf>
    <xf numFmtId="0" fontId="5" fillId="2" borderId="52" xfId="0" applyFont="1"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13" fillId="18" borderId="1" xfId="0" applyFont="1" applyFill="1" applyBorder="1" applyAlignment="1" applyProtection="1">
      <alignment horizontal="center" vertical="center"/>
      <protection/>
    </xf>
    <xf numFmtId="0" fontId="0" fillId="8" borderId="1" xfId="0" applyFill="1" applyBorder="1" applyAlignment="1" applyProtection="1">
      <alignment horizontal="center" vertical="center"/>
      <protection/>
    </xf>
    <xf numFmtId="0" fontId="0" fillId="0" borderId="53" xfId="0" applyBorder="1" applyAlignment="1" applyProtection="1">
      <alignment horizontal="center" vertical="center"/>
      <protection/>
    </xf>
    <xf numFmtId="0" fontId="0" fillId="19" borderId="42" xfId="0" applyFill="1" applyBorder="1" applyAlignment="1" applyProtection="1">
      <alignment horizontal="center" vertical="center"/>
      <protection/>
    </xf>
    <xf numFmtId="0" fontId="0" fillId="19" borderId="2" xfId="0" applyFill="1" applyBorder="1" applyAlignment="1" applyProtection="1">
      <alignment horizontal="center" vertical="center"/>
      <protection/>
    </xf>
    <xf numFmtId="0" fontId="0" fillId="8" borderId="1" xfId="0" applyNumberFormat="1" applyFill="1" applyBorder="1" applyAlignment="1" applyProtection="1">
      <alignment horizontal="center" vertical="center"/>
      <protection/>
    </xf>
    <xf numFmtId="178" fontId="0" fillId="8" borderId="1" xfId="0" applyNumberFormat="1" applyFill="1" applyBorder="1" applyAlignment="1" applyProtection="1">
      <alignment horizontal="center" vertical="center"/>
      <protection/>
    </xf>
    <xf numFmtId="0" fontId="0" fillId="19" borderId="54" xfId="0" applyFill="1" applyBorder="1" applyAlignment="1">
      <alignment horizontal="center" vertical="center"/>
    </xf>
    <xf numFmtId="0" fontId="0" fillId="14" borderId="30" xfId="0" applyFill="1" applyBorder="1" applyAlignment="1">
      <alignment horizontal="center" vertical="center"/>
    </xf>
    <xf numFmtId="176" fontId="17" fillId="11" borderId="8" xfId="0" applyNumberFormat="1" applyFont="1" applyFill="1" applyBorder="1" applyAlignment="1">
      <alignment vertical="center"/>
    </xf>
    <xf numFmtId="176" fontId="17" fillId="11" borderId="5" xfId="0" applyNumberFormat="1" applyFont="1" applyFill="1" applyBorder="1" applyAlignment="1">
      <alignment vertical="center"/>
    </xf>
    <xf numFmtId="0" fontId="0" fillId="2" borderId="47" xfId="0" applyFill="1" applyBorder="1" applyAlignment="1" applyProtection="1">
      <alignment horizontal="center" vertical="center"/>
      <protection/>
    </xf>
    <xf numFmtId="0" fontId="0" fillId="2" borderId="52" xfId="0" applyFill="1" applyBorder="1" applyAlignment="1" applyProtection="1">
      <alignment horizontal="center" vertical="center"/>
      <protection/>
    </xf>
    <xf numFmtId="0" fontId="0" fillId="0" borderId="7" xfId="0" applyFill="1" applyBorder="1" applyAlignment="1" applyProtection="1">
      <alignment horizontal="center" vertical="center"/>
      <protection/>
    </xf>
    <xf numFmtId="0" fontId="0" fillId="4" borderId="47" xfId="0" applyFill="1" applyBorder="1" applyAlignment="1" applyProtection="1">
      <alignment horizontal="center" vertical="center"/>
      <protection/>
    </xf>
    <xf numFmtId="0" fontId="0" fillId="5" borderId="55" xfId="0" applyFill="1" applyBorder="1" applyAlignment="1" applyProtection="1">
      <alignment horizontal="center" vertical="center"/>
      <protection/>
    </xf>
    <xf numFmtId="49" fontId="0" fillId="0" borderId="0" xfId="0" applyNumberFormat="1" applyAlignment="1" applyProtection="1">
      <alignment horizontal="center" vertical="center"/>
      <protection/>
    </xf>
    <xf numFmtId="49" fontId="0" fillId="0" borderId="0" xfId="0" applyNumberFormat="1" applyAlignment="1" applyProtection="1">
      <alignment vertical="center"/>
      <protection/>
    </xf>
    <xf numFmtId="49" fontId="0" fillId="8" borderId="0" xfId="0" applyNumberFormat="1" applyFill="1" applyAlignment="1" applyProtection="1">
      <alignment horizontal="center" vertical="center"/>
      <protection/>
    </xf>
    <xf numFmtId="178" fontId="0" fillId="4" borderId="39" xfId="0" applyNumberFormat="1" applyFill="1" applyBorder="1" applyAlignment="1" applyProtection="1">
      <alignment vertical="center"/>
      <protection locked="0"/>
    </xf>
    <xf numFmtId="0" fontId="0" fillId="4" borderId="39" xfId="0" applyFill="1" applyBorder="1" applyAlignment="1" applyProtection="1">
      <alignment horizontal="center" vertical="center"/>
      <protection locked="0"/>
    </xf>
    <xf numFmtId="0" fontId="0" fillId="8" borderId="39" xfId="0" applyFill="1" applyBorder="1" applyAlignment="1" applyProtection="1">
      <alignment horizontal="center" vertical="center"/>
      <protection/>
    </xf>
    <xf numFmtId="178" fontId="0" fillId="4" borderId="24" xfId="0" applyNumberFormat="1" applyFill="1" applyBorder="1" applyAlignment="1" applyProtection="1">
      <alignment vertical="center"/>
      <protection locked="0"/>
    </xf>
    <xf numFmtId="0" fontId="0" fillId="8" borderId="24" xfId="0" applyFill="1" applyBorder="1" applyAlignment="1" applyProtection="1">
      <alignment horizontal="center" vertical="center"/>
      <protection/>
    </xf>
    <xf numFmtId="0" fontId="0" fillId="20" borderId="1" xfId="0" applyFill="1" applyBorder="1" applyAlignment="1" applyProtection="1">
      <alignment horizontal="center" vertical="center"/>
      <protection/>
    </xf>
    <xf numFmtId="0" fontId="0" fillId="20" borderId="9" xfId="0" applyFill="1" applyBorder="1" applyAlignment="1" applyProtection="1">
      <alignment horizontal="center" vertical="center"/>
      <protection/>
    </xf>
    <xf numFmtId="0" fontId="0" fillId="15" borderId="40" xfId="0" applyFill="1" applyBorder="1" applyAlignment="1" applyProtection="1">
      <alignment horizontal="center" vertical="center"/>
      <protection/>
    </xf>
    <xf numFmtId="0" fontId="0" fillId="16" borderId="2" xfId="0" applyFill="1" applyBorder="1" applyAlignment="1" applyProtection="1">
      <alignment horizontal="center" vertical="center"/>
      <protection/>
    </xf>
    <xf numFmtId="0" fontId="0" fillId="16" borderId="4" xfId="0" applyFill="1" applyBorder="1" applyAlignment="1" applyProtection="1">
      <alignment horizontal="center" vertical="center"/>
      <protection/>
    </xf>
    <xf numFmtId="0" fontId="0" fillId="15" borderId="6" xfId="0" applyFill="1" applyBorder="1" applyAlignment="1" applyProtection="1">
      <alignment horizontal="center" vertical="center"/>
      <protection/>
    </xf>
    <xf numFmtId="0" fontId="0" fillId="20" borderId="2" xfId="0" applyFill="1" applyBorder="1" applyAlignment="1" applyProtection="1">
      <alignment horizontal="center" vertical="center"/>
      <protection/>
    </xf>
    <xf numFmtId="0" fontId="0" fillId="20" borderId="4" xfId="0" applyFill="1" applyBorder="1" applyAlignment="1" applyProtection="1">
      <alignment horizontal="center" vertical="center"/>
      <protection/>
    </xf>
    <xf numFmtId="0" fontId="0" fillId="14" borderId="0" xfId="0" applyFill="1" applyAlignment="1" applyProtection="1">
      <alignment vertical="center"/>
      <protection/>
    </xf>
    <xf numFmtId="0" fontId="0" fillId="14" borderId="1" xfId="0" applyFill="1" applyBorder="1" applyAlignment="1" applyProtection="1">
      <alignment vertical="center"/>
      <protection/>
    </xf>
    <xf numFmtId="0" fontId="0" fillId="14" borderId="26" xfId="0" applyFill="1" applyBorder="1" applyAlignment="1" applyProtection="1">
      <alignment vertical="center"/>
      <protection/>
    </xf>
    <xf numFmtId="0" fontId="0" fillId="14" borderId="27" xfId="0" applyFill="1" applyBorder="1" applyAlignment="1" applyProtection="1">
      <alignment vertical="center"/>
      <protection/>
    </xf>
    <xf numFmtId="0" fontId="0" fillId="14" borderId="28" xfId="0" applyFill="1" applyBorder="1" applyAlignment="1" applyProtection="1">
      <alignment vertical="center"/>
      <protection/>
    </xf>
    <xf numFmtId="0" fontId="0" fillId="19" borderId="0" xfId="0" applyFill="1" applyAlignment="1" applyProtection="1">
      <alignment vertical="center"/>
      <protection/>
    </xf>
    <xf numFmtId="0" fontId="0" fillId="19" borderId="1" xfId="0" applyFill="1" applyBorder="1" applyAlignment="1" applyProtection="1">
      <alignment vertical="center"/>
      <protection/>
    </xf>
    <xf numFmtId="0" fontId="0" fillId="19" borderId="26" xfId="0" applyFill="1" applyBorder="1" applyAlignment="1" applyProtection="1">
      <alignment vertical="center"/>
      <protection/>
    </xf>
    <xf numFmtId="0" fontId="0" fillId="19" borderId="27" xfId="0" applyFill="1" applyBorder="1" applyAlignment="1" applyProtection="1">
      <alignment vertical="center"/>
      <protection/>
    </xf>
    <xf numFmtId="0" fontId="0" fillId="19" borderId="28" xfId="0" applyFill="1" applyBorder="1" applyAlignment="1" applyProtection="1">
      <alignment vertical="center"/>
      <protection/>
    </xf>
    <xf numFmtId="0" fontId="0" fillId="18" borderId="0" xfId="0" applyFont="1" applyFill="1" applyAlignment="1" applyProtection="1">
      <alignment vertical="center"/>
      <protection/>
    </xf>
    <xf numFmtId="0" fontId="0" fillId="18" borderId="0" xfId="0" applyFill="1" applyAlignment="1" applyProtection="1">
      <alignment vertical="center"/>
      <protection/>
    </xf>
    <xf numFmtId="0" fontId="0" fillId="5" borderId="0" xfId="0" applyFill="1" applyAlignment="1" applyProtection="1">
      <alignment vertical="center"/>
      <protection/>
    </xf>
    <xf numFmtId="0" fontId="40" fillId="18" borderId="0" xfId="0" applyFont="1" applyFill="1" applyAlignment="1" applyProtection="1">
      <alignment vertical="center"/>
      <protection/>
    </xf>
    <xf numFmtId="0" fontId="24" fillId="8" borderId="56" xfId="0" applyFont="1" applyFill="1" applyBorder="1" applyAlignment="1" applyProtection="1">
      <alignment horizontal="center" vertical="center"/>
      <protection locked="0"/>
    </xf>
    <xf numFmtId="0" fontId="41" fillId="18" borderId="0" xfId="0" applyFont="1" applyFill="1" applyAlignment="1" applyProtection="1">
      <alignment horizontal="center" vertical="top"/>
      <protection/>
    </xf>
    <xf numFmtId="0" fontId="0" fillId="18" borderId="0" xfId="0" applyFont="1" applyFill="1" applyAlignment="1" applyProtection="1">
      <alignment horizontal="center" vertical="center"/>
      <protection/>
    </xf>
    <xf numFmtId="0" fontId="42" fillId="2" borderId="0" xfId="0" applyFont="1" applyFill="1" applyAlignment="1" applyProtection="1">
      <alignment horizontal="center" vertical="center"/>
      <protection/>
    </xf>
    <xf numFmtId="0" fontId="42" fillId="18" borderId="0" xfId="0" applyFont="1" applyFill="1" applyAlignment="1" applyProtection="1">
      <alignment horizontal="center" vertical="center"/>
      <protection/>
    </xf>
    <xf numFmtId="0" fontId="42" fillId="2" borderId="0" xfId="0" applyFont="1" applyFill="1" applyBorder="1" applyAlignment="1" applyProtection="1">
      <alignment horizontal="center" vertical="center"/>
      <protection/>
    </xf>
    <xf numFmtId="0" fontId="43" fillId="18" borderId="0" xfId="0" applyFont="1" applyFill="1" applyAlignment="1" applyProtection="1">
      <alignment horizontal="center" vertical="center"/>
      <protection/>
    </xf>
    <xf numFmtId="0" fontId="43" fillId="5" borderId="0" xfId="0" applyFont="1" applyFill="1" applyAlignment="1" applyProtection="1">
      <alignment horizontal="center" vertical="center"/>
      <protection/>
    </xf>
    <xf numFmtId="0" fontId="36" fillId="18" borderId="0" xfId="0" applyFont="1" applyFill="1" applyAlignment="1" applyProtection="1">
      <alignment horizontal="center" vertical="center"/>
      <protection/>
    </xf>
    <xf numFmtId="0" fontId="44" fillId="18" borderId="57" xfId="0" applyFont="1" applyFill="1" applyBorder="1" applyAlignment="1" applyProtection="1">
      <alignment horizontal="center" vertical="center"/>
      <protection/>
    </xf>
    <xf numFmtId="0" fontId="44" fillId="18" borderId="0" xfId="0" applyFont="1" applyFill="1" applyAlignment="1" applyProtection="1">
      <alignment horizontal="center" vertical="center"/>
      <protection/>
    </xf>
    <xf numFmtId="178" fontId="44" fillId="18" borderId="58" xfId="0" applyNumberFormat="1" applyFont="1" applyFill="1" applyBorder="1" applyAlignment="1" applyProtection="1">
      <alignment horizontal="center" vertical="center"/>
      <protection/>
    </xf>
    <xf numFmtId="0" fontId="44" fillId="18" borderId="58" xfId="0" applyNumberFormat="1" applyFont="1" applyFill="1" applyBorder="1" applyAlignment="1" applyProtection="1">
      <alignment horizontal="center" vertical="center"/>
      <protection/>
    </xf>
    <xf numFmtId="0" fontId="44" fillId="18" borderId="59" xfId="0" applyFont="1" applyFill="1" applyBorder="1" applyAlignment="1" applyProtection="1">
      <alignment horizontal="center" vertical="center"/>
      <protection/>
    </xf>
    <xf numFmtId="0" fontId="0" fillId="18" borderId="0" xfId="0" applyFill="1" applyAlignment="1" applyProtection="1">
      <alignment horizontal="center" vertical="center"/>
      <protection/>
    </xf>
    <xf numFmtId="0" fontId="0" fillId="5" borderId="0" xfId="0" applyFill="1" applyAlignment="1" applyProtection="1">
      <alignment horizontal="center" vertical="center"/>
      <protection/>
    </xf>
    <xf numFmtId="178" fontId="44" fillId="18" borderId="60" xfId="0" applyNumberFormat="1" applyFont="1" applyFill="1" applyBorder="1" applyAlignment="1" applyProtection="1">
      <alignment horizontal="center" vertical="center"/>
      <protection/>
    </xf>
    <xf numFmtId="0" fontId="44" fillId="18" borderId="60" xfId="0" applyNumberFormat="1" applyFont="1" applyFill="1" applyBorder="1" applyAlignment="1" applyProtection="1">
      <alignment horizontal="center" vertical="center"/>
      <protection/>
    </xf>
    <xf numFmtId="0" fontId="45" fillId="18" borderId="0" xfId="0" applyFont="1" applyFill="1" applyAlignment="1" applyProtection="1">
      <alignment horizontal="center" vertical="top"/>
      <protection/>
    </xf>
    <xf numFmtId="0" fontId="46" fillId="18" borderId="0" xfId="0" applyFont="1" applyFill="1" applyAlignment="1" applyProtection="1">
      <alignment horizontal="center" vertical="top"/>
      <protection/>
    </xf>
    <xf numFmtId="0" fontId="47" fillId="18" borderId="0" xfId="0" applyFont="1" applyFill="1" applyAlignment="1" applyProtection="1">
      <alignment horizontal="center" vertical="top"/>
      <protection/>
    </xf>
    <xf numFmtId="0" fontId="45" fillId="5" borderId="0" xfId="0" applyFont="1" applyFill="1" applyAlignment="1" applyProtection="1">
      <alignment horizontal="center" vertical="top"/>
      <protection/>
    </xf>
    <xf numFmtId="0" fontId="47" fillId="18" borderId="0" xfId="0" applyFont="1" applyFill="1" applyAlignment="1" applyProtection="1">
      <alignment vertical="center"/>
      <protection/>
    </xf>
    <xf numFmtId="0" fontId="47" fillId="5" borderId="0" xfId="0" applyFont="1" applyFill="1" applyAlignment="1" applyProtection="1">
      <alignment vertical="center"/>
      <protection/>
    </xf>
    <xf numFmtId="0" fontId="8" fillId="9" borderId="30" xfId="0" applyFont="1" applyFill="1" applyBorder="1" applyAlignment="1">
      <alignment horizontal="center" vertical="center"/>
    </xf>
    <xf numFmtId="0" fontId="8" fillId="7" borderId="9" xfId="0" applyFont="1" applyFill="1" applyBorder="1" applyAlignment="1">
      <alignment horizontal="center" vertical="center"/>
    </xf>
    <xf numFmtId="0" fontId="8" fillId="8" borderId="9" xfId="0" applyFont="1" applyFill="1" applyBorder="1" applyAlignment="1">
      <alignment horizontal="center" vertical="center"/>
    </xf>
    <xf numFmtId="0" fontId="8" fillId="6" borderId="9" xfId="0" applyFont="1" applyFill="1" applyBorder="1" applyAlignment="1">
      <alignment horizontal="center" vertical="center"/>
    </xf>
    <xf numFmtId="0" fontId="8" fillId="12" borderId="9" xfId="0" applyFont="1" applyFill="1" applyBorder="1" applyAlignment="1">
      <alignment horizontal="center" vertical="center"/>
    </xf>
    <xf numFmtId="0" fontId="8" fillId="19" borderId="54" xfId="0" applyFont="1" applyFill="1" applyBorder="1" applyAlignment="1">
      <alignment horizontal="center" vertical="center"/>
    </xf>
    <xf numFmtId="0" fontId="8" fillId="14" borderId="30" xfId="0" applyFont="1" applyFill="1" applyBorder="1" applyAlignment="1">
      <alignment horizontal="center" vertical="center"/>
    </xf>
    <xf numFmtId="0" fontId="8" fillId="9" borderId="9" xfId="0" applyFont="1" applyFill="1" applyBorder="1" applyAlignment="1">
      <alignment horizontal="center" vertical="center"/>
    </xf>
    <xf numFmtId="49" fontId="0" fillId="5" borderId="0" xfId="0" applyNumberFormat="1" applyFill="1" applyAlignment="1" applyProtection="1">
      <alignment vertical="center"/>
      <protection/>
    </xf>
    <xf numFmtId="49" fontId="42" fillId="2" borderId="0" xfId="0" applyNumberFormat="1" applyFont="1" applyFill="1" applyBorder="1" applyAlignment="1" applyProtection="1">
      <alignment horizontal="center" vertical="center"/>
      <protection/>
    </xf>
    <xf numFmtId="49" fontId="42" fillId="18" borderId="0" xfId="0" applyNumberFormat="1" applyFont="1" applyFill="1" applyAlignment="1" applyProtection="1">
      <alignment horizontal="center" vertical="center"/>
      <protection/>
    </xf>
    <xf numFmtId="49" fontId="44" fillId="18" borderId="60" xfId="0" applyNumberFormat="1" applyFont="1" applyFill="1" applyBorder="1" applyAlignment="1" applyProtection="1">
      <alignment horizontal="center" vertical="center"/>
      <protection/>
    </xf>
    <xf numFmtId="49" fontId="0" fillId="18" borderId="0" xfId="0" applyNumberFormat="1" applyFill="1" applyAlignment="1" applyProtection="1">
      <alignment vertical="center"/>
      <protection/>
    </xf>
    <xf numFmtId="49" fontId="0" fillId="0" borderId="0" xfId="0" applyNumberFormat="1" applyFill="1" applyAlignment="1" applyProtection="1">
      <alignment vertical="center"/>
      <protection/>
    </xf>
    <xf numFmtId="49" fontId="0" fillId="0" borderId="0" xfId="0" applyNumberFormat="1" applyAlignment="1">
      <alignment vertical="center"/>
    </xf>
    <xf numFmtId="182" fontId="44" fillId="18" borderId="60" xfId="0" applyNumberFormat="1" applyFon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13" fillId="13" borderId="1" xfId="0" applyNumberFormat="1" applyFont="1" applyFill="1" applyBorder="1" applyAlignment="1" applyProtection="1">
      <alignment horizontal="center" vertical="center"/>
      <protection/>
    </xf>
    <xf numFmtId="0" fontId="0" fillId="0" borderId="0" xfId="0" applyNumberFormat="1" applyAlignment="1">
      <alignment vertical="center"/>
    </xf>
    <xf numFmtId="0" fontId="48" fillId="11" borderId="1" xfId="0" applyFont="1" applyFill="1" applyBorder="1" applyAlignment="1" applyProtection="1">
      <alignment horizontal="center" vertical="center"/>
      <protection/>
    </xf>
    <xf numFmtId="0" fontId="49" fillId="0" borderId="0" xfId="0" applyFont="1" applyFill="1" applyAlignment="1" applyProtection="1">
      <alignment horizontal="center" vertical="center"/>
      <protection/>
    </xf>
    <xf numFmtId="0" fontId="3" fillId="0" borderId="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25" fillId="11" borderId="0" xfId="0" applyFont="1"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0" fillId="11" borderId="0" xfId="0" applyFill="1"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0" fillId="2" borderId="1"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4" borderId="39" xfId="0" applyFill="1" applyBorder="1" applyAlignment="1" applyProtection="1">
      <alignment vertical="center"/>
      <protection locked="0"/>
    </xf>
    <xf numFmtId="0" fontId="0" fillId="4" borderId="1"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39" xfId="0" applyFill="1" applyBorder="1" applyAlignment="1" applyProtection="1">
      <alignment horizontal="center" vertical="center"/>
      <protection/>
    </xf>
    <xf numFmtId="0" fontId="0" fillId="8" borderId="39" xfId="0" applyNumberFormat="1" applyFill="1" applyBorder="1" applyAlignment="1" applyProtection="1">
      <alignment horizontal="center" vertical="center"/>
      <protection/>
    </xf>
    <xf numFmtId="178" fontId="0" fillId="8" borderId="39" xfId="0" applyNumberFormat="1" applyFill="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0" fontId="51" fillId="11" borderId="4" xfId="0" applyFont="1" applyFill="1" applyBorder="1" applyAlignment="1" applyProtection="1">
      <alignment horizontal="center" vertical="center"/>
      <protection/>
    </xf>
    <xf numFmtId="0" fontId="51" fillId="11" borderId="9" xfId="0" applyFont="1" applyFill="1" applyBorder="1" applyAlignment="1" applyProtection="1">
      <alignment horizontal="center" vertical="center"/>
      <protection/>
    </xf>
    <xf numFmtId="0" fontId="33" fillId="2" borderId="9" xfId="0" applyFont="1" applyFill="1" applyBorder="1" applyAlignment="1" applyProtection="1">
      <alignment horizontal="left" vertical="center"/>
      <protection/>
    </xf>
    <xf numFmtId="0" fontId="31" fillId="21" borderId="9" xfId="0" applyFont="1" applyFill="1" applyBorder="1" applyAlignment="1" applyProtection="1">
      <alignment horizontal="center" vertical="center"/>
      <protection/>
    </xf>
    <xf numFmtId="0" fontId="32" fillId="11" borderId="9" xfId="0" applyFont="1" applyFill="1" applyBorder="1" applyAlignment="1" applyProtection="1">
      <alignment horizontal="center" vertical="center"/>
      <protection/>
    </xf>
    <xf numFmtId="0" fontId="31" fillId="21" borderId="5" xfId="0" applyFont="1" applyFill="1" applyBorder="1" applyAlignment="1" applyProtection="1">
      <alignment horizontal="center" vertical="center"/>
      <protection/>
    </xf>
    <xf numFmtId="49" fontId="13" fillId="21" borderId="0" xfId="0" applyNumberFormat="1" applyFont="1" applyFill="1" applyAlignment="1" applyProtection="1">
      <alignment vertical="center"/>
      <protection/>
    </xf>
    <xf numFmtId="49" fontId="0" fillId="0" borderId="61" xfId="0" applyNumberFormat="1" applyFont="1" applyFill="1" applyBorder="1" applyAlignment="1" applyProtection="1">
      <alignment vertical="center"/>
      <protection/>
    </xf>
    <xf numFmtId="0" fontId="3" fillId="16" borderId="1" xfId="0" applyFont="1" applyFill="1" applyBorder="1" applyAlignment="1" applyProtection="1">
      <alignment horizontal="center" vertical="center"/>
      <protection/>
    </xf>
    <xf numFmtId="0" fontId="4" fillId="16" borderId="1" xfId="0" applyFont="1" applyFill="1" applyBorder="1" applyAlignment="1" applyProtection="1">
      <alignment horizontal="center" vertical="center"/>
      <protection/>
    </xf>
    <xf numFmtId="178" fontId="0" fillId="0" borderId="0" xfId="0" applyNumberForma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49" fontId="0" fillId="0" borderId="0" xfId="0" applyNumberFormat="1" applyFill="1" applyBorder="1" applyAlignment="1" applyProtection="1">
      <alignment horizontal="center" vertical="center"/>
      <protection/>
    </xf>
    <xf numFmtId="0" fontId="0" fillId="22" borderId="4" xfId="0" applyFill="1" applyBorder="1" applyAlignment="1" applyProtection="1">
      <alignment horizontal="center" vertical="center"/>
      <protection/>
    </xf>
    <xf numFmtId="0" fontId="0" fillId="22" borderId="9" xfId="0" applyFill="1" applyBorder="1" applyAlignment="1" applyProtection="1">
      <alignment vertical="center"/>
      <protection/>
    </xf>
    <xf numFmtId="0" fontId="0" fillId="22" borderId="9" xfId="0" applyFill="1" applyBorder="1" applyAlignment="1" applyProtection="1">
      <alignment horizontal="center" vertical="center"/>
      <protection/>
    </xf>
    <xf numFmtId="0" fontId="0" fillId="23" borderId="9" xfId="0" applyFill="1" applyBorder="1" applyAlignment="1" applyProtection="1">
      <alignment horizontal="center" vertical="center"/>
      <protection/>
    </xf>
    <xf numFmtId="0" fontId="0" fillId="23" borderId="54" xfId="0" applyFill="1" applyBorder="1" applyAlignment="1" applyProtection="1">
      <alignment vertical="center"/>
      <protection/>
    </xf>
    <xf numFmtId="0" fontId="0" fillId="22" borderId="5" xfId="0" applyFill="1" applyBorder="1" applyAlignment="1" applyProtection="1">
      <alignment horizontal="center" vertical="center"/>
      <protection/>
    </xf>
    <xf numFmtId="0" fontId="2" fillId="0" borderId="53" xfId="0" applyFont="1" applyFill="1" applyBorder="1" applyAlignment="1" applyProtection="1">
      <alignment vertical="center"/>
      <protection/>
    </xf>
    <xf numFmtId="0" fontId="2" fillId="0" borderId="1" xfId="0" applyFont="1" applyFill="1" applyBorder="1" applyAlignment="1" applyProtection="1">
      <alignment vertical="center"/>
      <protection/>
    </xf>
    <xf numFmtId="0" fontId="2" fillId="7" borderId="39"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7" borderId="24" xfId="0" applyFont="1" applyFill="1" applyBorder="1" applyAlignment="1" applyProtection="1">
      <alignment vertical="center"/>
      <protection locked="0"/>
    </xf>
    <xf numFmtId="178" fontId="0" fillId="4" borderId="34" xfId="0" applyNumberFormat="1" applyFill="1" applyBorder="1" applyAlignment="1" applyProtection="1">
      <alignment vertical="center"/>
      <protection locked="0"/>
    </xf>
    <xf numFmtId="49" fontId="57" fillId="14" borderId="1" xfId="0" applyNumberFormat="1" applyFont="1" applyFill="1" applyBorder="1" applyAlignment="1" applyProtection="1">
      <alignment horizontal="center" vertical="center"/>
      <protection/>
    </xf>
    <xf numFmtId="0" fontId="57" fillId="14" borderId="1" xfId="0" applyFont="1" applyFill="1" applyBorder="1" applyAlignment="1" applyProtection="1">
      <alignment horizontal="center" vertical="center"/>
      <protection/>
    </xf>
    <xf numFmtId="0" fontId="57" fillId="14" borderId="1" xfId="0" applyFont="1" applyFill="1" applyBorder="1" applyAlignment="1">
      <alignment horizontal="center" vertical="center"/>
    </xf>
    <xf numFmtId="0" fontId="0" fillId="24" borderId="52" xfId="0" applyFill="1" applyBorder="1" applyAlignment="1" applyProtection="1">
      <alignment horizontal="center" vertical="center"/>
      <protection/>
    </xf>
    <xf numFmtId="0" fontId="0" fillId="20" borderId="8" xfId="0" applyFill="1" applyBorder="1" applyAlignment="1" applyProtection="1">
      <alignment horizontal="center" vertical="center"/>
      <protection/>
    </xf>
    <xf numFmtId="0" fontId="0" fillId="20" borderId="31" xfId="0" applyFill="1" applyBorder="1" applyAlignment="1" applyProtection="1">
      <alignment horizontal="center" vertical="center"/>
      <protection/>
    </xf>
    <xf numFmtId="0" fontId="0" fillId="25" borderId="62" xfId="0" applyFill="1" applyBorder="1" applyAlignment="1" applyProtection="1">
      <alignment horizontal="center" vertical="center"/>
      <protection/>
    </xf>
    <xf numFmtId="0" fontId="0" fillId="26" borderId="52" xfId="0" applyFill="1" applyBorder="1" applyAlignment="1" applyProtection="1">
      <alignment horizontal="center" vertical="center"/>
      <protection/>
    </xf>
    <xf numFmtId="0" fontId="0" fillId="16" borderId="31" xfId="0" applyFill="1" applyBorder="1" applyAlignment="1" applyProtection="1">
      <alignment horizontal="center" vertical="center"/>
      <protection/>
    </xf>
    <xf numFmtId="0" fontId="38" fillId="9" borderId="46" xfId="0" applyFont="1" applyFill="1" applyBorder="1" applyAlignment="1">
      <alignment horizontal="center" vertical="center"/>
    </xf>
    <xf numFmtId="0" fontId="38" fillId="7" borderId="39" xfId="0" applyFont="1" applyFill="1" applyBorder="1" applyAlignment="1">
      <alignment horizontal="center" vertical="center"/>
    </xf>
    <xf numFmtId="0" fontId="38" fillId="8" borderId="39" xfId="0" applyFont="1" applyFill="1" applyBorder="1" applyAlignment="1">
      <alignment horizontal="center" vertical="center"/>
    </xf>
    <xf numFmtId="0" fontId="38" fillId="6" borderId="39" xfId="0" applyFont="1" applyFill="1" applyBorder="1" applyAlignment="1">
      <alignment horizontal="center" vertical="center"/>
    </xf>
    <xf numFmtId="0" fontId="38" fillId="12" borderId="39" xfId="0" applyFont="1" applyFill="1" applyBorder="1" applyAlignment="1">
      <alignment horizontal="center" vertical="center"/>
    </xf>
    <xf numFmtId="0" fontId="38" fillId="19" borderId="39" xfId="0" applyFont="1" applyFill="1" applyBorder="1" applyAlignment="1">
      <alignment horizontal="center" vertical="center"/>
    </xf>
    <xf numFmtId="176" fontId="12" fillId="16" borderId="7" xfId="0" applyNumberFormat="1" applyFont="1" applyFill="1" applyBorder="1" applyAlignment="1">
      <alignment vertical="center"/>
    </xf>
    <xf numFmtId="176" fontId="12" fillId="16" borderId="9" xfId="0" applyNumberFormat="1" applyFont="1" applyFill="1" applyBorder="1" applyAlignment="1">
      <alignment vertical="center"/>
    </xf>
    <xf numFmtId="0" fontId="38" fillId="16" borderId="39" xfId="0" applyFont="1" applyFill="1" applyBorder="1" applyAlignment="1">
      <alignment horizontal="center" vertical="center"/>
    </xf>
    <xf numFmtId="0" fontId="8" fillId="16" borderId="54" xfId="0" applyFont="1"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38" fillId="14" borderId="46" xfId="0" applyFont="1" applyFill="1" applyBorder="1" applyAlignment="1">
      <alignment horizontal="center" vertical="center"/>
    </xf>
    <xf numFmtId="0" fontId="2" fillId="4" borderId="36" xfId="0" applyFont="1" applyFill="1" applyBorder="1" applyAlignment="1">
      <alignment horizontal="left" vertical="center"/>
    </xf>
    <xf numFmtId="0" fontId="38" fillId="8" borderId="46" xfId="0" applyFont="1" applyFill="1" applyBorder="1" applyAlignment="1">
      <alignment horizontal="center" vertical="center"/>
    </xf>
    <xf numFmtId="0" fontId="38" fillId="6" borderId="46" xfId="0" applyFont="1" applyFill="1" applyBorder="1" applyAlignment="1">
      <alignment horizontal="center" vertical="center"/>
    </xf>
    <xf numFmtId="0" fontId="38" fillId="12" borderId="46" xfId="0" applyFont="1" applyFill="1" applyBorder="1" applyAlignment="1">
      <alignment horizontal="center" vertical="center"/>
    </xf>
    <xf numFmtId="0" fontId="38" fillId="19" borderId="46" xfId="0" applyFont="1" applyFill="1" applyBorder="1" applyAlignment="1">
      <alignment horizontal="center" vertical="center"/>
    </xf>
    <xf numFmtId="0" fontId="38" fillId="16" borderId="46" xfId="0" applyFont="1" applyFill="1" applyBorder="1" applyAlignment="1">
      <alignment horizontal="center" vertical="center"/>
    </xf>
    <xf numFmtId="0" fontId="0" fillId="16" borderId="54" xfId="0" applyFill="1" applyBorder="1" applyAlignment="1">
      <alignment horizontal="center" vertical="center"/>
    </xf>
    <xf numFmtId="0" fontId="38" fillId="7" borderId="46" xfId="0" applyFont="1" applyFill="1" applyBorder="1" applyAlignment="1">
      <alignment horizontal="center" vertical="center"/>
    </xf>
    <xf numFmtId="0" fontId="13" fillId="27" borderId="31" xfId="0" applyFont="1" applyFill="1" applyBorder="1" applyAlignment="1">
      <alignment horizontal="center" vertical="center"/>
    </xf>
    <xf numFmtId="176" fontId="12" fillId="20" borderId="7" xfId="0" applyNumberFormat="1" applyFont="1" applyFill="1" applyBorder="1" applyAlignment="1">
      <alignment vertical="center"/>
    </xf>
    <xf numFmtId="176" fontId="12" fillId="20" borderId="9" xfId="0" applyNumberFormat="1" applyFont="1" applyFill="1" applyBorder="1" applyAlignment="1">
      <alignment vertical="center"/>
    </xf>
    <xf numFmtId="0" fontId="8" fillId="20" borderId="54" xfId="0" applyFont="1" applyFill="1" applyBorder="1" applyAlignment="1">
      <alignment horizontal="center" vertical="center"/>
    </xf>
    <xf numFmtId="0" fontId="38" fillId="28" borderId="46" xfId="0" applyFont="1" applyFill="1" applyBorder="1" applyAlignment="1">
      <alignment horizontal="center" vertical="center"/>
    </xf>
    <xf numFmtId="0" fontId="38" fillId="29" borderId="46" xfId="0" applyFont="1" applyFill="1" applyBorder="1" applyAlignment="1">
      <alignment horizontal="center" vertical="center"/>
    </xf>
    <xf numFmtId="0" fontId="38" fillId="30" borderId="46" xfId="0" applyFont="1" applyFill="1" applyBorder="1" applyAlignment="1">
      <alignment horizontal="center" vertical="center"/>
    </xf>
    <xf numFmtId="0" fontId="38" fillId="31" borderId="46" xfId="0" applyFont="1" applyFill="1" applyBorder="1" applyAlignment="1">
      <alignment horizontal="center" vertical="center"/>
    </xf>
    <xf numFmtId="0" fontId="38" fillId="32" borderId="46" xfId="0" applyFont="1" applyFill="1" applyBorder="1" applyAlignment="1">
      <alignment horizontal="center" vertical="center"/>
    </xf>
    <xf numFmtId="0" fontId="38" fillId="33" borderId="46" xfId="0" applyFont="1" applyFill="1" applyBorder="1" applyAlignment="1">
      <alignment horizontal="center" vertical="center"/>
    </xf>
    <xf numFmtId="0" fontId="0" fillId="16" borderId="0" xfId="0" applyFill="1" applyAlignment="1">
      <alignment vertical="center"/>
    </xf>
    <xf numFmtId="0" fontId="0" fillId="26" borderId="32" xfId="0" applyFill="1" applyBorder="1" applyAlignment="1">
      <alignment horizontal="center" vertical="center"/>
    </xf>
    <xf numFmtId="176" fontId="12" fillId="16" borderId="29" xfId="0" applyNumberFormat="1" applyFont="1" applyFill="1" applyBorder="1" applyAlignment="1">
      <alignment vertical="center"/>
    </xf>
    <xf numFmtId="176" fontId="17" fillId="34" borderId="8" xfId="0" applyNumberFormat="1" applyFont="1" applyFill="1" applyBorder="1" applyAlignment="1">
      <alignment vertical="center"/>
    </xf>
    <xf numFmtId="0" fontId="0" fillId="26" borderId="33" xfId="0" applyFill="1" applyBorder="1" applyAlignment="1">
      <alignment horizontal="center" vertical="center"/>
    </xf>
    <xf numFmtId="176" fontId="12" fillId="16" borderId="30" xfId="0" applyNumberFormat="1" applyFont="1" applyFill="1" applyBorder="1" applyAlignment="1">
      <alignment vertical="center"/>
    </xf>
    <xf numFmtId="176" fontId="17" fillId="34" borderId="5" xfId="0" applyNumberFormat="1" applyFont="1" applyFill="1" applyBorder="1" applyAlignment="1">
      <alignment vertical="center"/>
    </xf>
    <xf numFmtId="0" fontId="2" fillId="26" borderId="36" xfId="0" applyFont="1" applyFill="1" applyBorder="1" applyAlignment="1">
      <alignment vertical="center"/>
    </xf>
    <xf numFmtId="0" fontId="38" fillId="35" borderId="46" xfId="0" applyFont="1" applyFill="1" applyBorder="1" applyAlignment="1">
      <alignment horizontal="center" vertical="center"/>
    </xf>
    <xf numFmtId="0" fontId="38" fillId="36" borderId="46" xfId="0" applyFont="1" applyFill="1" applyBorder="1" applyAlignment="1">
      <alignment horizontal="center" vertical="center"/>
    </xf>
    <xf numFmtId="0" fontId="38" fillId="37" borderId="46" xfId="0" applyFont="1" applyFill="1" applyBorder="1" applyAlignment="1">
      <alignment horizontal="center" vertical="center"/>
    </xf>
    <xf numFmtId="0" fontId="38" fillId="25" borderId="46" xfId="0" applyFont="1" applyFill="1" applyBorder="1" applyAlignment="1">
      <alignment horizontal="center" vertical="center"/>
    </xf>
    <xf numFmtId="0" fontId="38" fillId="38" borderId="46" xfId="0" applyFont="1" applyFill="1" applyBorder="1" applyAlignment="1">
      <alignment horizontal="center" vertical="center"/>
    </xf>
    <xf numFmtId="0" fontId="38" fillId="39" borderId="46" xfId="0" applyFont="1" applyFill="1" applyBorder="1" applyAlignment="1">
      <alignment horizontal="center" vertical="center"/>
    </xf>
    <xf numFmtId="0" fontId="8" fillId="35" borderId="30" xfId="0" applyFont="1" applyFill="1" applyBorder="1" applyAlignment="1">
      <alignment horizontal="center" vertical="center"/>
    </xf>
    <xf numFmtId="0" fontId="8" fillId="36" borderId="9" xfId="0" applyFont="1" applyFill="1" applyBorder="1" applyAlignment="1">
      <alignment horizontal="center" vertical="center"/>
    </xf>
    <xf numFmtId="0" fontId="8" fillId="37" borderId="9" xfId="0" applyFont="1" applyFill="1" applyBorder="1" applyAlignment="1">
      <alignment horizontal="center" vertical="center"/>
    </xf>
    <xf numFmtId="0" fontId="8" fillId="40" borderId="9" xfId="0" applyFont="1" applyFill="1" applyBorder="1" applyAlignment="1">
      <alignment horizontal="center" vertical="center"/>
    </xf>
    <xf numFmtId="0" fontId="8" fillId="25" borderId="9" xfId="0" applyFont="1" applyFill="1" applyBorder="1" applyAlignment="1">
      <alignment horizontal="center" vertical="center"/>
    </xf>
    <xf numFmtId="0" fontId="8" fillId="38" borderId="9" xfId="0" applyFont="1" applyFill="1" applyBorder="1" applyAlignment="1">
      <alignment horizontal="center" vertical="center"/>
    </xf>
    <xf numFmtId="0" fontId="8" fillId="39" borderId="54" xfId="0" applyFont="1" applyFill="1" applyBorder="1" applyAlignment="1">
      <alignment horizontal="center" vertical="center"/>
    </xf>
    <xf numFmtId="0" fontId="13" fillId="27" borderId="5" xfId="0" applyFont="1" applyFill="1" applyBorder="1" applyAlignment="1">
      <alignment horizontal="center" vertical="center"/>
    </xf>
    <xf numFmtId="0" fontId="0" fillId="16" borderId="0" xfId="0" applyFill="1" applyAlignment="1" applyProtection="1">
      <alignment vertical="center"/>
      <protection/>
    </xf>
    <xf numFmtId="0" fontId="0" fillId="40" borderId="10" xfId="0" applyFill="1" applyBorder="1" applyAlignment="1" applyProtection="1">
      <alignment horizontal="center" vertical="center"/>
      <protection/>
    </xf>
    <xf numFmtId="0" fontId="0" fillId="40" borderId="12" xfId="0" applyFill="1" applyBorder="1" applyAlignment="1" applyProtection="1">
      <alignment horizontal="center" vertical="center"/>
      <protection/>
    </xf>
    <xf numFmtId="0" fontId="0" fillId="40" borderId="13" xfId="0" applyFill="1" applyBorder="1" applyAlignment="1" applyProtection="1">
      <alignment horizontal="center" vertical="center"/>
      <protection/>
    </xf>
    <xf numFmtId="0" fontId="0" fillId="40" borderId="14" xfId="0" applyFill="1" applyBorder="1" applyAlignment="1" applyProtection="1">
      <alignment horizontal="center" vertical="center"/>
      <protection/>
    </xf>
    <xf numFmtId="0" fontId="0" fillId="40" borderId="0" xfId="0" applyFill="1" applyBorder="1" applyAlignment="1" applyProtection="1">
      <alignment horizontal="center" vertical="center"/>
      <protection/>
    </xf>
    <xf numFmtId="0" fontId="0" fillId="40" borderId="16" xfId="0" applyFill="1" applyBorder="1" applyAlignment="1" applyProtection="1">
      <alignment horizontal="center" vertical="center"/>
      <protection/>
    </xf>
    <xf numFmtId="0" fontId="0" fillId="40" borderId="11" xfId="0" applyFill="1" applyBorder="1" applyAlignment="1" applyProtection="1">
      <alignment horizontal="center" vertical="center"/>
      <protection/>
    </xf>
    <xf numFmtId="0" fontId="0" fillId="40" borderId="15" xfId="0" applyFill="1" applyBorder="1" applyAlignment="1" applyProtection="1">
      <alignment horizontal="center" vertical="center"/>
      <protection/>
    </xf>
    <xf numFmtId="0" fontId="0" fillId="40" borderId="17" xfId="0" applyFill="1" applyBorder="1" applyAlignment="1" applyProtection="1">
      <alignment horizontal="center" vertical="center"/>
      <protection/>
    </xf>
    <xf numFmtId="0" fontId="0" fillId="41" borderId="63" xfId="0" applyFill="1" applyBorder="1" applyAlignment="1" applyProtection="1">
      <alignment horizontal="center" vertical="center"/>
      <protection/>
    </xf>
    <xf numFmtId="0" fontId="0" fillId="41" borderId="52" xfId="0" applyFill="1" applyBorder="1" applyAlignment="1" applyProtection="1">
      <alignment vertical="center"/>
      <protection/>
    </xf>
    <xf numFmtId="0" fontId="0" fillId="16" borderId="63" xfId="0" applyFill="1" applyBorder="1" applyAlignment="1" applyProtection="1">
      <alignment vertical="center"/>
      <protection/>
    </xf>
    <xf numFmtId="0" fontId="0" fillId="16" borderId="64" xfId="0" applyFill="1" applyBorder="1" applyAlignment="1" applyProtection="1">
      <alignment vertical="center"/>
      <protection/>
    </xf>
    <xf numFmtId="176" fontId="8" fillId="16" borderId="38" xfId="0" applyNumberFormat="1" applyFont="1" applyFill="1" applyBorder="1" applyAlignment="1" applyProtection="1">
      <alignment vertical="center"/>
      <protection/>
    </xf>
    <xf numFmtId="176" fontId="8" fillId="16" borderId="64" xfId="0" applyNumberFormat="1" applyFont="1" applyFill="1" applyBorder="1" applyAlignment="1" applyProtection="1">
      <alignment vertical="center"/>
      <protection/>
    </xf>
    <xf numFmtId="177" fontId="8" fillId="16" borderId="38" xfId="0" applyNumberFormat="1" applyFont="1" applyFill="1" applyBorder="1" applyAlignment="1" applyProtection="1">
      <alignment vertical="center"/>
      <protection/>
    </xf>
    <xf numFmtId="176" fontId="8" fillId="16" borderId="38" xfId="0" applyNumberFormat="1" applyFont="1" applyFill="1" applyBorder="1" applyAlignment="1" applyProtection="1">
      <alignment horizontal="center" vertical="center"/>
      <protection/>
    </xf>
    <xf numFmtId="0" fontId="0" fillId="37" borderId="10" xfId="0" applyFill="1" applyBorder="1" applyAlignment="1" applyProtection="1">
      <alignment horizontal="center" vertical="center"/>
      <protection/>
    </xf>
    <xf numFmtId="0" fontId="0" fillId="37" borderId="12" xfId="0"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5"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0" borderId="65" xfId="0" applyFill="1" applyBorder="1" applyAlignment="1" applyProtection="1">
      <alignment vertical="center"/>
      <protection/>
    </xf>
    <xf numFmtId="0" fontId="0" fillId="0" borderId="66" xfId="0" applyFill="1" applyBorder="1" applyAlignment="1" applyProtection="1">
      <alignment vertical="center"/>
      <protection/>
    </xf>
    <xf numFmtId="0" fontId="0" fillId="16" borderId="65" xfId="0" applyFill="1" applyBorder="1" applyAlignment="1" applyProtection="1">
      <alignment vertical="center"/>
      <protection/>
    </xf>
    <xf numFmtId="0" fontId="0" fillId="16" borderId="66" xfId="0" applyFill="1" applyBorder="1" applyAlignment="1" applyProtection="1">
      <alignment vertical="center"/>
      <protection/>
    </xf>
    <xf numFmtId="176" fontId="8" fillId="0" borderId="32" xfId="0" applyNumberFormat="1" applyFont="1" applyBorder="1" applyAlignment="1" applyProtection="1">
      <alignment vertical="center"/>
      <protection/>
    </xf>
    <xf numFmtId="176" fontId="8" fillId="0" borderId="66" xfId="0" applyNumberFormat="1" applyFont="1" applyBorder="1" applyAlignment="1" applyProtection="1">
      <alignment vertical="center"/>
      <protection/>
    </xf>
    <xf numFmtId="177" fontId="8" fillId="0" borderId="32" xfId="0" applyNumberFormat="1" applyFont="1" applyBorder="1" applyAlignment="1" applyProtection="1">
      <alignment vertical="center"/>
      <protection/>
    </xf>
    <xf numFmtId="0" fontId="0" fillId="0" borderId="42" xfId="0" applyFill="1" applyBorder="1" applyAlignment="1" applyProtection="1">
      <alignment vertical="center"/>
      <protection/>
    </xf>
    <xf numFmtId="0" fontId="0" fillId="0" borderId="19" xfId="0" applyFill="1" applyBorder="1" applyAlignment="1" applyProtection="1">
      <alignment vertical="center"/>
      <protection/>
    </xf>
    <xf numFmtId="0" fontId="0" fillId="16" borderId="42" xfId="0" applyFill="1" applyBorder="1" applyAlignment="1" applyProtection="1">
      <alignment vertical="center"/>
      <protection/>
    </xf>
    <xf numFmtId="0" fontId="0" fillId="16" borderId="19" xfId="0" applyFill="1" applyBorder="1" applyAlignment="1" applyProtection="1">
      <alignment vertical="center"/>
      <protection/>
    </xf>
    <xf numFmtId="176" fontId="8" fillId="0" borderId="35" xfId="0" applyNumberFormat="1" applyFont="1" applyBorder="1" applyAlignment="1" applyProtection="1">
      <alignment vertical="center"/>
      <protection/>
    </xf>
    <xf numFmtId="176" fontId="8" fillId="0" borderId="19" xfId="0" applyNumberFormat="1" applyFont="1" applyBorder="1" applyAlignment="1" applyProtection="1">
      <alignment vertical="center"/>
      <protection/>
    </xf>
    <xf numFmtId="177" fontId="8" fillId="0" borderId="35" xfId="0" applyNumberFormat="1" applyFont="1" applyBorder="1" applyAlignment="1" applyProtection="1">
      <alignment vertical="center"/>
      <protection/>
    </xf>
    <xf numFmtId="0" fontId="0" fillId="5" borderId="11" xfId="0" applyFill="1" applyBorder="1" applyAlignment="1" applyProtection="1">
      <alignment horizontal="center" vertical="center"/>
      <protection/>
    </xf>
    <xf numFmtId="0" fontId="0" fillId="5" borderId="51" xfId="0" applyFill="1" applyBorder="1" applyAlignment="1" applyProtection="1">
      <alignment vertical="center"/>
      <protection/>
    </xf>
    <xf numFmtId="0" fontId="0" fillId="0" borderId="41" xfId="0" applyFill="1" applyBorder="1" applyAlignment="1" applyProtection="1">
      <alignment vertical="center"/>
      <protection/>
    </xf>
    <xf numFmtId="0" fontId="0" fillId="0" borderId="61" xfId="0" applyFill="1" applyBorder="1" applyAlignment="1" applyProtection="1">
      <alignment vertical="center"/>
      <protection/>
    </xf>
    <xf numFmtId="0" fontId="0" fillId="16" borderId="41" xfId="0" applyFill="1" applyBorder="1" applyAlignment="1" applyProtection="1">
      <alignment vertical="center"/>
      <protection/>
    </xf>
    <xf numFmtId="0" fontId="0" fillId="16" borderId="61" xfId="0" applyFill="1" applyBorder="1" applyAlignment="1" applyProtection="1">
      <alignment vertical="center"/>
      <protection/>
    </xf>
    <xf numFmtId="176" fontId="8" fillId="0" borderId="36" xfId="0" applyNumberFormat="1" applyFont="1" applyBorder="1" applyAlignment="1" applyProtection="1">
      <alignment vertical="center"/>
      <protection/>
    </xf>
    <xf numFmtId="176" fontId="8" fillId="0" borderId="61" xfId="0" applyNumberFormat="1" applyFont="1" applyBorder="1" applyAlignment="1" applyProtection="1">
      <alignment vertical="center"/>
      <protection/>
    </xf>
    <xf numFmtId="177" fontId="8" fillId="0" borderId="36" xfId="0" applyNumberFormat="1" applyFont="1" applyBorder="1" applyAlignment="1" applyProtection="1">
      <alignment vertical="center"/>
      <protection/>
    </xf>
    <xf numFmtId="0" fontId="0" fillId="5" borderId="65" xfId="0" applyFill="1" applyBorder="1" applyAlignment="1" applyProtection="1">
      <alignment horizontal="center" vertical="center"/>
      <protection/>
    </xf>
    <xf numFmtId="0" fontId="0" fillId="5" borderId="8" xfId="0" applyFill="1" applyBorder="1" applyAlignment="1" applyProtection="1">
      <alignment vertical="center"/>
      <protection/>
    </xf>
    <xf numFmtId="0" fontId="0" fillId="5" borderId="42" xfId="0" applyFill="1" applyBorder="1" applyAlignment="1" applyProtection="1">
      <alignment horizontal="center" vertical="center"/>
      <protection/>
    </xf>
    <xf numFmtId="0" fontId="0" fillId="5" borderId="3"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5" xfId="0" applyFill="1" applyBorder="1" applyAlignment="1" applyProtection="1">
      <alignment vertical="center"/>
      <protection/>
    </xf>
    <xf numFmtId="0" fontId="0" fillId="16" borderId="11" xfId="0" applyFill="1" applyBorder="1" applyAlignment="1" applyProtection="1">
      <alignment vertical="center"/>
      <protection/>
    </xf>
    <xf numFmtId="0" fontId="0" fillId="16" borderId="15" xfId="0" applyFill="1" applyBorder="1" applyAlignment="1" applyProtection="1">
      <alignment vertical="center"/>
      <protection/>
    </xf>
    <xf numFmtId="176" fontId="8" fillId="0" borderId="55" xfId="0" applyNumberFormat="1" applyFont="1" applyBorder="1" applyAlignment="1" applyProtection="1">
      <alignment vertical="center"/>
      <protection/>
    </xf>
    <xf numFmtId="176" fontId="8" fillId="0" borderId="15" xfId="0" applyNumberFormat="1" applyFont="1" applyBorder="1" applyAlignment="1" applyProtection="1">
      <alignment vertical="center"/>
      <protection/>
    </xf>
    <xf numFmtId="177" fontId="8" fillId="0" borderId="55" xfId="0" applyNumberFormat="1" applyFont="1" applyBorder="1" applyAlignment="1" applyProtection="1">
      <alignment vertical="center"/>
      <protection/>
    </xf>
    <xf numFmtId="176" fontId="0" fillId="0" borderId="0" xfId="0" applyNumberFormat="1" applyFill="1" applyBorder="1" applyAlignment="1" applyProtection="1">
      <alignment horizontal="center" vertical="center"/>
      <protection/>
    </xf>
    <xf numFmtId="181" fontId="0" fillId="16" borderId="1" xfId="0" applyNumberFormat="1" applyFill="1" applyBorder="1" applyAlignment="1">
      <alignment vertical="center"/>
    </xf>
    <xf numFmtId="0" fontId="0" fillId="16" borderId="67" xfId="0" applyFill="1" applyBorder="1" applyAlignment="1">
      <alignment vertical="center"/>
    </xf>
    <xf numFmtId="0" fontId="0" fillId="16" borderId="0" xfId="0" applyFill="1" applyAlignment="1">
      <alignment horizontal="center" vertical="center"/>
    </xf>
    <xf numFmtId="0" fontId="0" fillId="0" borderId="1" xfId="0" applyBorder="1" applyAlignment="1">
      <alignment horizontal="center" vertical="center"/>
    </xf>
    <xf numFmtId="176" fontId="0" fillId="0" borderId="38" xfId="0" applyNumberFormat="1" applyBorder="1" applyAlignment="1" applyProtection="1">
      <alignment horizontal="right" vertical="center"/>
      <protection/>
    </xf>
    <xf numFmtId="176" fontId="0" fillId="0" borderId="0" xfId="0" applyNumberFormat="1" applyBorder="1" applyAlignment="1" applyProtection="1">
      <alignment horizontal="right" vertical="center"/>
      <protection/>
    </xf>
    <xf numFmtId="0" fontId="0" fillId="9" borderId="38" xfId="0" applyFill="1" applyBorder="1" applyAlignment="1" applyProtection="1">
      <alignment horizontal="right" vertical="center"/>
      <protection/>
    </xf>
    <xf numFmtId="0" fontId="0" fillId="0" borderId="0" xfId="0" applyBorder="1" applyAlignment="1" applyProtection="1">
      <alignment horizontal="right" vertical="center"/>
      <protection/>
    </xf>
    <xf numFmtId="0" fontId="8" fillId="2" borderId="1" xfId="0" applyFont="1" applyFill="1" applyBorder="1" applyAlignment="1">
      <alignment horizontal="center" vertical="center"/>
    </xf>
    <xf numFmtId="0" fontId="0" fillId="0" borderId="37" xfId="0" applyBorder="1" applyAlignment="1">
      <alignment vertical="center"/>
    </xf>
    <xf numFmtId="0" fontId="8" fillId="16" borderId="39" xfId="0" applyFont="1" applyFill="1" applyBorder="1" applyAlignment="1" quotePrefix="1">
      <alignment horizontal="center" vertical="center"/>
    </xf>
    <xf numFmtId="0" fontId="8" fillId="16" borderId="39" xfId="0" applyFont="1" applyFill="1" applyBorder="1" applyAlignment="1">
      <alignment vertical="center"/>
    </xf>
    <xf numFmtId="0" fontId="24" fillId="16" borderId="39" xfId="0" applyFont="1" applyFill="1" applyBorder="1" applyAlignment="1">
      <alignment horizontal="center" vertical="center"/>
    </xf>
    <xf numFmtId="177" fontId="24" fillId="16" borderId="39" xfId="0" applyNumberFormat="1" applyFont="1" applyFill="1" applyBorder="1" applyAlignment="1">
      <alignment horizontal="center" vertical="center"/>
    </xf>
    <xf numFmtId="177" fontId="24" fillId="0" borderId="3" xfId="0" applyNumberFormat="1" applyFont="1" applyBorder="1" applyAlignment="1">
      <alignment horizontal="center" vertical="center"/>
    </xf>
    <xf numFmtId="0" fontId="24" fillId="0" borderId="9" xfId="0" applyFont="1" applyBorder="1" applyAlignment="1">
      <alignment horizontal="center" vertical="center"/>
    </xf>
    <xf numFmtId="177" fontId="24" fillId="0" borderId="5" xfId="0" applyNumberFormat="1" applyFont="1" applyBorder="1" applyAlignment="1">
      <alignment horizontal="center" vertical="center"/>
    </xf>
    <xf numFmtId="0" fontId="24" fillId="0" borderId="39" xfId="0" applyFont="1" applyBorder="1" applyAlignment="1">
      <alignment horizontal="center" vertical="center"/>
    </xf>
    <xf numFmtId="177" fontId="24" fillId="0" borderId="31" xfId="0" applyNumberFormat="1" applyFont="1" applyBorder="1" applyAlignment="1">
      <alignment horizontal="center" vertical="center"/>
    </xf>
    <xf numFmtId="0" fontId="0" fillId="16" borderId="68" xfId="0" applyFill="1" applyBorder="1" applyAlignment="1" applyProtection="1">
      <alignment horizontal="center" vertical="center"/>
      <protection/>
    </xf>
    <xf numFmtId="0" fontId="0" fillId="16" borderId="50" xfId="0" applyFill="1" applyBorder="1" applyAlignment="1" applyProtection="1">
      <alignment horizontal="center" vertical="center"/>
      <protection/>
    </xf>
    <xf numFmtId="0" fontId="0" fillId="16" borderId="51" xfId="0"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0" fillId="0" borderId="5" xfId="0" applyFill="1" applyBorder="1" applyAlignment="1" applyProtection="1">
      <alignment horizontal="center" vertical="center"/>
      <protection/>
    </xf>
    <xf numFmtId="180" fontId="24" fillId="16" borderId="55" xfId="0" applyNumberFormat="1" applyFont="1" applyFill="1" applyBorder="1" applyAlignment="1">
      <alignment vertical="center"/>
    </xf>
    <xf numFmtId="180" fontId="24" fillId="0" borderId="33" xfId="0" applyNumberFormat="1" applyFont="1" applyBorder="1" applyAlignment="1">
      <alignment vertical="center"/>
    </xf>
    <xf numFmtId="0" fontId="25" fillId="21" borderId="1" xfId="0" applyFont="1" applyFill="1" applyBorder="1" applyAlignment="1">
      <alignment horizontal="center" vertical="center"/>
    </xf>
    <xf numFmtId="0" fontId="24" fillId="6" borderId="1"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52" xfId="0" applyFont="1" applyFill="1" applyBorder="1" applyAlignment="1">
      <alignment horizontal="center" vertical="center"/>
    </xf>
    <xf numFmtId="176" fontId="10" fillId="0" borderId="32" xfId="0" applyNumberFormat="1" applyFont="1" applyFill="1" applyBorder="1" applyAlignment="1" applyProtection="1">
      <alignment horizontal="center" vertical="center"/>
      <protection/>
    </xf>
    <xf numFmtId="176" fontId="10" fillId="0" borderId="36" xfId="0" applyNumberFormat="1" applyFont="1" applyFill="1" applyBorder="1" applyAlignment="1" applyProtection="1">
      <alignment horizontal="center" vertical="center"/>
      <protection/>
    </xf>
    <xf numFmtId="176" fontId="10" fillId="0" borderId="35" xfId="0" applyNumberFormat="1" applyFont="1" applyFill="1" applyBorder="1" applyAlignment="1" applyProtection="1">
      <alignment horizontal="center" vertical="center"/>
      <protection/>
    </xf>
    <xf numFmtId="176" fontId="10" fillId="0" borderId="55" xfId="0" applyNumberFormat="1" applyFont="1" applyFill="1" applyBorder="1" applyAlignment="1" applyProtection="1">
      <alignment horizontal="center" vertical="center"/>
      <protection/>
    </xf>
    <xf numFmtId="0" fontId="8" fillId="0" borderId="2" xfId="0" applyFont="1" applyFill="1" applyBorder="1" applyAlignment="1" quotePrefix="1">
      <alignment horizontal="center" vertical="center"/>
    </xf>
    <xf numFmtId="0" fontId="3" fillId="0" borderId="39"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178" fontId="0" fillId="22" borderId="39" xfId="0" applyNumberFormat="1" applyFill="1" applyBorder="1" applyAlignment="1" applyProtection="1">
      <alignment vertical="center"/>
      <protection locked="0"/>
    </xf>
    <xf numFmtId="178" fontId="0" fillId="22" borderId="1" xfId="0" applyNumberFormat="1" applyFill="1" applyBorder="1" applyAlignment="1" applyProtection="1">
      <alignment vertical="center"/>
      <protection locked="0"/>
    </xf>
    <xf numFmtId="0" fontId="0" fillId="4" borderId="69"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2" fillId="7" borderId="20" xfId="0" applyFont="1" applyFill="1" applyBorder="1" applyAlignment="1" applyProtection="1">
      <alignment vertical="center"/>
      <protection locked="0"/>
    </xf>
    <xf numFmtId="0" fontId="2" fillId="7" borderId="46" xfId="0" applyFont="1" applyFill="1" applyBorder="1" applyAlignment="1" applyProtection="1">
      <alignment vertical="center"/>
      <protection locked="0"/>
    </xf>
    <xf numFmtId="0" fontId="0" fillId="22" borderId="39" xfId="0" applyFill="1" applyBorder="1" applyAlignment="1" applyProtection="1">
      <alignment horizontal="center" vertical="center"/>
      <protection locked="0"/>
    </xf>
    <xf numFmtId="0" fontId="0" fillId="22" borderId="1" xfId="0" applyFill="1" applyBorder="1" applyAlignment="1" applyProtection="1">
      <alignment horizontal="center" vertical="center"/>
      <protection locked="0"/>
    </xf>
    <xf numFmtId="0" fontId="0" fillId="42" borderId="1" xfId="0" applyFill="1" applyBorder="1" applyAlignment="1" applyProtection="1">
      <alignment horizontal="center" vertical="center"/>
      <protection locked="0"/>
    </xf>
    <xf numFmtId="0" fontId="2" fillId="7" borderId="34" xfId="0" applyFont="1" applyFill="1" applyBorder="1" applyAlignment="1" applyProtection="1">
      <alignment vertical="center"/>
      <protection locked="0"/>
    </xf>
    <xf numFmtId="0" fontId="0" fillId="8" borderId="34" xfId="0" applyFill="1" applyBorder="1" applyAlignment="1" applyProtection="1">
      <alignment horizontal="center" vertical="center"/>
      <protection/>
    </xf>
    <xf numFmtId="0" fontId="0" fillId="2" borderId="34" xfId="0"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xf>
    <xf numFmtId="0" fontId="0" fillId="7" borderId="12" xfId="0" applyFont="1" applyFill="1" applyBorder="1" applyAlignment="1" applyProtection="1">
      <alignment horizontal="center" vertical="center"/>
      <protection/>
    </xf>
    <xf numFmtId="0" fontId="0" fillId="7" borderId="13" xfId="0" applyFont="1" applyFill="1" applyBorder="1" applyAlignment="1" applyProtection="1">
      <alignment horizontal="center" vertical="center"/>
      <protection/>
    </xf>
    <xf numFmtId="0" fontId="0" fillId="7" borderId="14" xfId="0" applyFont="1" applyFill="1" applyBorder="1" applyAlignment="1" applyProtection="1">
      <alignment horizontal="center" vertical="center"/>
      <protection/>
    </xf>
    <xf numFmtId="0" fontId="0" fillId="7" borderId="0" xfId="0" applyFont="1" applyFill="1" applyBorder="1" applyAlignment="1" applyProtection="1">
      <alignment horizontal="center" vertical="center"/>
      <protection/>
    </xf>
    <xf numFmtId="0" fontId="0" fillId="7" borderId="16" xfId="0" applyFont="1" applyFill="1" applyBorder="1" applyAlignment="1" applyProtection="1">
      <alignment horizontal="center" vertical="center"/>
      <protection/>
    </xf>
    <xf numFmtId="0" fontId="0" fillId="7" borderId="11" xfId="0" applyFont="1" applyFill="1" applyBorder="1" applyAlignment="1" applyProtection="1">
      <alignment horizontal="center" vertical="center"/>
      <protection/>
    </xf>
    <xf numFmtId="0" fontId="0" fillId="7" borderId="15" xfId="0" applyFont="1" applyFill="1" applyBorder="1" applyAlignment="1" applyProtection="1">
      <alignment horizontal="center" vertical="center"/>
      <protection/>
    </xf>
    <xf numFmtId="0" fontId="0" fillId="7" borderId="17" xfId="0" applyFont="1" applyFill="1" applyBorder="1" applyAlignment="1" applyProtection="1">
      <alignment horizontal="center" vertical="center"/>
      <protection/>
    </xf>
    <xf numFmtId="0" fontId="0" fillId="8" borderId="10"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protection/>
    </xf>
    <xf numFmtId="0" fontId="0" fillId="8" borderId="13" xfId="0" applyFont="1" applyFill="1" applyBorder="1" applyAlignment="1" applyProtection="1">
      <alignment horizontal="center" vertical="center"/>
      <protection/>
    </xf>
    <xf numFmtId="0" fontId="0" fillId="8" borderId="14" xfId="0" applyFont="1" applyFill="1" applyBorder="1" applyAlignment="1" applyProtection="1">
      <alignment horizontal="center" vertical="center"/>
      <protection/>
    </xf>
    <xf numFmtId="0" fontId="0" fillId="8" borderId="0" xfId="0" applyFont="1" applyFill="1" applyBorder="1" applyAlignment="1" applyProtection="1">
      <alignment horizontal="center" vertical="center"/>
      <protection/>
    </xf>
    <xf numFmtId="0" fontId="0" fillId="8" borderId="16" xfId="0" applyFont="1" applyFill="1" applyBorder="1" applyAlignment="1" applyProtection="1">
      <alignment horizontal="center" vertical="center"/>
      <protection/>
    </xf>
    <xf numFmtId="0" fontId="0" fillId="8" borderId="11" xfId="0" applyFont="1" applyFill="1" applyBorder="1" applyAlignment="1" applyProtection="1">
      <alignment horizontal="center" vertical="center"/>
      <protection/>
    </xf>
    <xf numFmtId="0" fontId="0" fillId="8" borderId="15" xfId="0" applyFont="1" applyFill="1" applyBorder="1" applyAlignment="1" applyProtection="1">
      <alignment horizontal="center" vertical="center"/>
      <protection/>
    </xf>
    <xf numFmtId="0" fontId="0" fillId="8" borderId="17" xfId="0" applyFont="1" applyFill="1" applyBorder="1" applyAlignment="1" applyProtection="1">
      <alignment horizontal="center" vertical="center"/>
      <protection/>
    </xf>
    <xf numFmtId="0" fontId="0" fillId="0" borderId="6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4" borderId="20" xfId="0" applyFill="1" applyBorder="1" applyAlignment="1" applyProtection="1">
      <alignment horizontal="center" vertical="center"/>
      <protection/>
    </xf>
    <xf numFmtId="178" fontId="0" fillId="0" borderId="34" xfId="0" applyNumberFormat="1" applyBorder="1" applyAlignment="1" applyProtection="1">
      <alignment vertical="center"/>
      <protection locked="0"/>
    </xf>
    <xf numFmtId="0" fontId="0" fillId="0" borderId="34" xfId="0" applyBorder="1" applyAlignment="1" applyProtection="1">
      <alignment horizontal="center" vertical="center"/>
      <protection locked="0"/>
    </xf>
    <xf numFmtId="178" fontId="0" fillId="0" borderId="39" xfId="0" applyNumberFormat="1" applyBorder="1" applyAlignment="1" applyProtection="1">
      <alignment vertical="center"/>
      <protection locked="0"/>
    </xf>
    <xf numFmtId="0" fontId="0" fillId="0" borderId="39" xfId="0" applyBorder="1" applyAlignment="1" applyProtection="1">
      <alignment horizontal="center" vertical="center"/>
      <protection locked="0"/>
    </xf>
    <xf numFmtId="178" fontId="0" fillId="0" borderId="39" xfId="0" applyNumberFormat="1" applyFont="1" applyFill="1" applyBorder="1" applyAlignment="1" applyProtection="1">
      <alignment vertical="center"/>
      <protection locked="0"/>
    </xf>
    <xf numFmtId="0" fontId="0" fillId="0" borderId="39" xfId="0" applyFont="1" applyFill="1" applyBorder="1" applyAlignment="1" applyProtection="1">
      <alignment horizontal="center" vertical="center"/>
      <protection locked="0"/>
    </xf>
    <xf numFmtId="178" fontId="0" fillId="0" borderId="34" xfId="0" applyNumberFormat="1" applyFont="1" applyFill="1" applyBorder="1" applyAlignment="1" applyProtection="1">
      <alignment vertical="center"/>
      <protection locked="0"/>
    </xf>
    <xf numFmtId="0" fontId="0" fillId="0" borderId="34" xfId="0" applyFont="1"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178"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178" fontId="0" fillId="0" borderId="1" xfId="0" applyNumberFormat="1" applyFont="1" applyBorder="1" applyAlignment="1" applyProtection="1">
      <alignment vertical="center"/>
      <protection locked="0"/>
    </xf>
    <xf numFmtId="178" fontId="0" fillId="0" borderId="39" xfId="0" applyNumberFormat="1" applyFont="1" applyBorder="1" applyAlignment="1" applyProtection="1">
      <alignment vertical="center"/>
      <protection locked="0"/>
    </xf>
    <xf numFmtId="178" fontId="0" fillId="0" borderId="24" xfId="0" applyNumberFormat="1" applyFont="1" applyBorder="1" applyAlignment="1" applyProtection="1">
      <alignment vertical="center"/>
      <protection locked="0"/>
    </xf>
    <xf numFmtId="0" fontId="0" fillId="0" borderId="24" xfId="0" applyFont="1" applyBorder="1" applyAlignment="1" applyProtection="1">
      <alignment horizontal="center" vertical="center"/>
      <protection locked="0"/>
    </xf>
    <xf numFmtId="0" fontId="0" fillId="4" borderId="71" xfId="0" applyFill="1" applyBorder="1" applyAlignment="1" applyProtection="1">
      <alignment horizontal="center" vertical="center"/>
      <protection/>
    </xf>
    <xf numFmtId="0" fontId="2" fillId="7" borderId="72" xfId="0" applyFont="1" applyFill="1" applyBorder="1" applyAlignment="1" applyProtection="1">
      <alignment vertical="center"/>
      <protection locked="0"/>
    </xf>
    <xf numFmtId="0" fontId="0" fillId="8" borderId="72" xfId="0" applyFill="1" applyBorder="1" applyAlignment="1" applyProtection="1">
      <alignment horizontal="center" vertical="center"/>
      <protection/>
    </xf>
    <xf numFmtId="0" fontId="0" fillId="2" borderId="72" xfId="0" applyFill="1" applyBorder="1" applyAlignment="1" applyProtection="1">
      <alignment horizontal="center" vertical="center"/>
      <protection locked="0"/>
    </xf>
    <xf numFmtId="178" fontId="0" fillId="0" borderId="72" xfId="0" applyNumberFormat="1" applyFont="1" applyFill="1" applyBorder="1" applyAlignment="1" applyProtection="1">
      <alignment vertical="center"/>
      <protection locked="0"/>
    </xf>
    <xf numFmtId="0" fontId="0" fillId="0" borderId="72" xfId="0" applyFont="1" applyFill="1" applyBorder="1" applyAlignment="1" applyProtection="1">
      <alignment horizontal="center" vertical="center"/>
      <protection locked="0"/>
    </xf>
    <xf numFmtId="178" fontId="0" fillId="0" borderId="1"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178" fontId="0" fillId="0" borderId="67" xfId="0" applyNumberFormat="1" applyFont="1" applyBorder="1" applyAlignment="1" applyProtection="1">
      <alignment vertical="center"/>
      <protection locked="0"/>
    </xf>
    <xf numFmtId="49" fontId="0" fillId="0" borderId="73" xfId="0" applyNumberFormat="1" applyBorder="1" applyAlignment="1" applyProtection="1">
      <alignment vertical="center"/>
      <protection/>
    </xf>
    <xf numFmtId="0" fontId="0" fillId="0" borderId="74" xfId="0" applyFont="1" applyBorder="1" applyAlignment="1" applyProtection="1">
      <alignment horizontal="center" vertical="center"/>
      <protection locked="0"/>
    </xf>
    <xf numFmtId="0" fontId="2" fillId="7" borderId="75" xfId="0" applyFont="1" applyFill="1" applyBorder="1" applyAlignment="1" applyProtection="1">
      <alignment vertical="center"/>
      <protection locked="0"/>
    </xf>
    <xf numFmtId="0" fontId="0" fillId="8" borderId="67" xfId="0" applyFill="1" applyBorder="1" applyAlignment="1" applyProtection="1">
      <alignment horizontal="center" vertical="center"/>
      <protection/>
    </xf>
    <xf numFmtId="0" fontId="0" fillId="2" borderId="67" xfId="0" applyFill="1" applyBorder="1" applyAlignment="1" applyProtection="1">
      <alignment horizontal="center" vertical="center"/>
      <protection locked="0"/>
    </xf>
    <xf numFmtId="0" fontId="2" fillId="7" borderId="67" xfId="0" applyFont="1" applyFill="1" applyBorder="1" applyAlignment="1" applyProtection="1">
      <alignment vertical="center"/>
      <protection locked="0"/>
    </xf>
    <xf numFmtId="49" fontId="0" fillId="0" borderId="18" xfId="0" applyNumberFormat="1" applyBorder="1" applyAlignment="1" applyProtection="1">
      <alignment vertical="center"/>
      <protection/>
    </xf>
    <xf numFmtId="49" fontId="0" fillId="0" borderId="19" xfId="0" applyNumberFormat="1" applyBorder="1" applyAlignment="1" applyProtection="1">
      <alignment vertical="center"/>
      <protection/>
    </xf>
    <xf numFmtId="49" fontId="0" fillId="0" borderId="46" xfId="0" applyNumberFormat="1" applyBorder="1" applyAlignment="1" applyProtection="1">
      <alignment horizontal="center" vertical="center"/>
      <protection/>
    </xf>
    <xf numFmtId="49" fontId="0" fillId="0" borderId="18"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42" xfId="0" applyNumberFormat="1" applyBorder="1" applyAlignment="1" applyProtection="1">
      <alignment vertical="center"/>
      <protection/>
    </xf>
    <xf numFmtId="49" fontId="0" fillId="0" borderId="20" xfId="0" applyNumberFormat="1" applyBorder="1" applyAlignment="1" applyProtection="1">
      <alignment vertical="center"/>
      <protection/>
    </xf>
    <xf numFmtId="49" fontId="0" fillId="0" borderId="69" xfId="0" applyNumberFormat="1" applyBorder="1" applyAlignment="1" applyProtection="1">
      <alignment horizontal="center" vertical="center"/>
      <protection/>
    </xf>
    <xf numFmtId="49" fontId="0" fillId="0" borderId="40" xfId="0" applyNumberFormat="1" applyBorder="1" applyAlignment="1" applyProtection="1">
      <alignment vertical="center"/>
      <protection/>
    </xf>
    <xf numFmtId="49" fontId="0" fillId="0" borderId="39" xfId="0" applyNumberFormat="1" applyBorder="1" applyAlignment="1" applyProtection="1">
      <alignment vertical="center"/>
      <protection/>
    </xf>
    <xf numFmtId="49" fontId="0" fillId="0" borderId="2" xfId="0" applyNumberFormat="1" applyBorder="1" applyAlignment="1" applyProtection="1">
      <alignment vertical="center"/>
      <protection/>
    </xf>
    <xf numFmtId="49" fontId="0" fillId="6" borderId="47" xfId="0" applyNumberFormat="1" applyFill="1" applyBorder="1" applyAlignment="1" applyProtection="1">
      <alignment horizontal="center" vertical="center"/>
      <protection/>
    </xf>
    <xf numFmtId="49" fontId="0" fillId="6" borderId="45" xfId="0" applyNumberFormat="1" applyFill="1" applyBorder="1" applyAlignment="1" applyProtection="1">
      <alignment horizontal="center" vertical="center"/>
      <protection/>
    </xf>
    <xf numFmtId="0" fontId="0" fillId="2" borderId="1" xfId="0" applyFont="1" applyFill="1" applyBorder="1" applyAlignment="1" applyProtection="1">
      <alignment horizontal="center" vertical="center"/>
      <protection locked="0"/>
    </xf>
    <xf numFmtId="49" fontId="0" fillId="0" borderId="1" xfId="0" applyNumberFormat="1" applyBorder="1" applyAlignment="1" applyProtection="1">
      <alignment vertical="center"/>
      <protection/>
    </xf>
    <xf numFmtId="49" fontId="0" fillId="6" borderId="18" xfId="0" applyNumberFormat="1" applyFill="1" applyBorder="1" applyAlignment="1" applyProtection="1">
      <alignment horizontal="center" vertical="center"/>
      <protection/>
    </xf>
    <xf numFmtId="49" fontId="0" fillId="6" borderId="19" xfId="0" applyNumberFormat="1" applyFill="1" applyBorder="1" applyAlignment="1" applyProtection="1">
      <alignment horizontal="center" vertical="center"/>
      <protection/>
    </xf>
    <xf numFmtId="49" fontId="0" fillId="6" borderId="20" xfId="0" applyNumberFormat="1" applyFill="1" applyBorder="1" applyAlignment="1" applyProtection="1">
      <alignment horizontal="center" vertical="center"/>
      <protection/>
    </xf>
    <xf numFmtId="49" fontId="0" fillId="0" borderId="4" xfId="0" applyNumberFormat="1" applyBorder="1" applyAlignment="1" applyProtection="1">
      <alignment vertical="center"/>
      <protection/>
    </xf>
    <xf numFmtId="49" fontId="0" fillId="0" borderId="9" xfId="0" applyNumberFormat="1" applyBorder="1" applyAlignment="1" applyProtection="1">
      <alignment vertical="center"/>
      <protection/>
    </xf>
    <xf numFmtId="49" fontId="0" fillId="8" borderId="42" xfId="0" applyNumberFormat="1" applyFill="1" applyBorder="1" applyAlignment="1" applyProtection="1">
      <alignment vertical="center"/>
      <protection/>
    </xf>
    <xf numFmtId="49" fontId="0" fillId="8" borderId="20" xfId="0" applyNumberFormat="1" applyFill="1" applyBorder="1" applyAlignment="1" applyProtection="1">
      <alignment vertical="center"/>
      <protection/>
    </xf>
    <xf numFmtId="49" fontId="0" fillId="8" borderId="18" xfId="0" applyNumberFormat="1" applyFill="1" applyBorder="1" applyAlignment="1" applyProtection="1">
      <alignment horizontal="center" vertical="center"/>
      <protection/>
    </xf>
    <xf numFmtId="49" fontId="0" fillId="8" borderId="20" xfId="0" applyNumberFormat="1" applyFill="1" applyBorder="1" applyAlignment="1" applyProtection="1">
      <alignment horizontal="center" vertical="center"/>
      <protection/>
    </xf>
    <xf numFmtId="49" fontId="0" fillId="0" borderId="54" xfId="0" applyNumberFormat="1" applyBorder="1" applyAlignment="1" applyProtection="1">
      <alignment vertical="center"/>
      <protection/>
    </xf>
    <xf numFmtId="49" fontId="0" fillId="0" borderId="76" xfId="0" applyNumberFormat="1" applyBorder="1" applyAlignment="1" applyProtection="1">
      <alignment vertical="center"/>
      <protection/>
    </xf>
    <xf numFmtId="49" fontId="0" fillId="0" borderId="62" xfId="0" applyNumberFormat="1" applyBorder="1" applyAlignment="1" applyProtection="1">
      <alignment vertical="center"/>
      <protection/>
    </xf>
    <xf numFmtId="49" fontId="0" fillId="6" borderId="48" xfId="0" applyNumberFormat="1" applyFill="1" applyBorder="1" applyAlignment="1" applyProtection="1">
      <alignment horizontal="center" vertical="center"/>
      <protection/>
    </xf>
    <xf numFmtId="49" fontId="0" fillId="6" borderId="64" xfId="0" applyNumberFormat="1" applyFill="1" applyBorder="1" applyAlignment="1" applyProtection="1">
      <alignment horizontal="center" vertical="center"/>
      <protection/>
    </xf>
    <xf numFmtId="49" fontId="0" fillId="6" borderId="77" xfId="0" applyNumberFormat="1" applyFill="1" applyBorder="1" applyAlignment="1" applyProtection="1">
      <alignment horizontal="center" vertical="center"/>
      <protection/>
    </xf>
    <xf numFmtId="49" fontId="0" fillId="6" borderId="44" xfId="0" applyNumberFormat="1" applyFill="1" applyBorder="1" applyAlignment="1" applyProtection="1">
      <alignment horizontal="center" vertical="center"/>
      <protection/>
    </xf>
    <xf numFmtId="49" fontId="0" fillId="8" borderId="18" xfId="0" applyNumberFormat="1" applyFill="1" applyBorder="1" applyAlignment="1" applyProtection="1">
      <alignment vertical="center"/>
      <protection/>
    </xf>
    <xf numFmtId="49" fontId="0" fillId="8" borderId="19" xfId="0" applyNumberFormat="1" applyFill="1" applyBorder="1" applyAlignment="1" applyProtection="1">
      <alignment vertical="center"/>
      <protection/>
    </xf>
    <xf numFmtId="49" fontId="0" fillId="8" borderId="73" xfId="0" applyNumberFormat="1" applyFill="1" applyBorder="1" applyAlignment="1" applyProtection="1">
      <alignment vertical="center"/>
      <protection/>
    </xf>
    <xf numFmtId="49" fontId="0" fillId="0" borderId="54" xfId="0" applyNumberFormat="1" applyBorder="1" applyAlignment="1" applyProtection="1">
      <alignment horizontal="center" vertical="center"/>
      <protection/>
    </xf>
    <xf numFmtId="49" fontId="0" fillId="0" borderId="30" xfId="0" applyNumberFormat="1" applyBorder="1" applyAlignment="1" applyProtection="1">
      <alignment horizontal="center" vertical="center"/>
      <protection/>
    </xf>
    <xf numFmtId="49" fontId="0" fillId="0" borderId="69" xfId="0" applyNumberFormat="1" applyBorder="1" applyAlignment="1" applyProtection="1">
      <alignment vertical="center"/>
      <protection/>
    </xf>
    <xf numFmtId="49" fontId="0" fillId="0" borderId="61" xfId="0" applyNumberFormat="1" applyBorder="1" applyAlignment="1" applyProtection="1">
      <alignment vertical="center"/>
      <protection/>
    </xf>
    <xf numFmtId="49" fontId="0" fillId="0" borderId="78" xfId="0" applyNumberFormat="1" applyBorder="1" applyAlignment="1" applyProtection="1">
      <alignment vertical="center"/>
      <protection/>
    </xf>
    <xf numFmtId="0" fontId="0" fillId="0" borderId="0" xfId="0" applyAlignment="1">
      <alignment vertical="center"/>
    </xf>
    <xf numFmtId="0" fontId="0" fillId="6" borderId="0" xfId="0" applyFill="1" applyAlignment="1" applyProtection="1">
      <alignment vertical="center"/>
      <protection/>
    </xf>
    <xf numFmtId="0" fontId="0" fillId="0" borderId="0" xfId="0" applyFill="1" applyBorder="1" applyAlignment="1">
      <alignment vertical="center"/>
    </xf>
    <xf numFmtId="181" fontId="0" fillId="0" borderId="20" xfId="0" applyNumberFormat="1" applyBorder="1" applyAlignment="1" applyProtection="1">
      <alignment horizontal="center" vertical="center"/>
      <protection/>
    </xf>
    <xf numFmtId="0" fontId="0" fillId="6" borderId="10" xfId="0" applyFont="1" applyFill="1" applyBorder="1" applyAlignment="1" applyProtection="1">
      <alignment horizontal="center" vertical="center"/>
      <protection/>
    </xf>
    <xf numFmtId="0" fontId="0" fillId="6" borderId="12" xfId="0" applyFont="1" applyFill="1" applyBorder="1" applyAlignment="1" applyProtection="1">
      <alignment horizontal="center" vertical="center"/>
      <protection/>
    </xf>
    <xf numFmtId="0" fontId="0" fillId="6" borderId="13" xfId="0" applyFont="1" applyFill="1" applyBorder="1" applyAlignment="1" applyProtection="1">
      <alignment horizontal="center" vertical="center"/>
      <protection/>
    </xf>
    <xf numFmtId="0" fontId="0" fillId="6" borderId="14" xfId="0" applyFont="1" applyFill="1" applyBorder="1" applyAlignment="1" applyProtection="1">
      <alignment horizontal="center" vertical="center"/>
      <protection/>
    </xf>
    <xf numFmtId="0" fontId="0" fillId="6" borderId="0" xfId="0" applyFont="1" applyFill="1" applyBorder="1" applyAlignment="1" applyProtection="1">
      <alignment horizontal="center" vertical="center"/>
      <protection/>
    </xf>
    <xf numFmtId="0" fontId="0" fillId="6" borderId="16" xfId="0" applyFont="1" applyFill="1" applyBorder="1" applyAlignment="1" applyProtection="1">
      <alignment horizontal="center" vertical="center"/>
      <protection/>
    </xf>
    <xf numFmtId="0" fontId="0" fillId="6" borderId="11" xfId="0" applyFont="1" applyFill="1" applyBorder="1" applyAlignment="1" applyProtection="1">
      <alignment horizontal="center" vertical="center"/>
      <protection/>
    </xf>
    <xf numFmtId="0" fontId="0" fillId="6" borderId="15" xfId="0" applyFont="1" applyFill="1" applyBorder="1" applyAlignment="1" applyProtection="1">
      <alignment horizontal="center" vertical="center"/>
      <protection/>
    </xf>
    <xf numFmtId="0" fontId="0" fillId="6" borderId="17" xfId="0" applyFont="1" applyFill="1" applyBorder="1" applyAlignment="1" applyProtection="1">
      <alignment horizontal="center" vertical="center"/>
      <protection/>
    </xf>
    <xf numFmtId="0" fontId="0" fillId="6" borderId="10" xfId="0" applyFill="1" applyBorder="1" applyAlignment="1" applyProtection="1">
      <alignment horizontal="center" vertical="center"/>
      <protection/>
    </xf>
    <xf numFmtId="0" fontId="0" fillId="6" borderId="12" xfId="0" applyFill="1" applyBorder="1" applyAlignment="1" applyProtection="1">
      <alignment horizontal="center" vertical="center"/>
      <protection/>
    </xf>
    <xf numFmtId="0" fontId="0" fillId="6" borderId="13"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0" xfId="0" applyFill="1" applyBorder="1" applyAlignment="1" applyProtection="1">
      <alignment horizontal="center" vertical="center"/>
      <protection/>
    </xf>
    <xf numFmtId="0" fontId="0" fillId="6" borderId="16" xfId="0" applyFill="1" applyBorder="1" applyAlignment="1" applyProtection="1">
      <alignment horizontal="center" vertical="center"/>
      <protection/>
    </xf>
    <xf numFmtId="0" fontId="0" fillId="6" borderId="11" xfId="0"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6" borderId="17" xfId="0" applyFill="1" applyBorder="1" applyAlignment="1" applyProtection="1">
      <alignment horizontal="center" vertical="center"/>
      <protection/>
    </xf>
    <xf numFmtId="176" fontId="0" fillId="8" borderId="79" xfId="0" applyNumberFormat="1" applyFill="1" applyBorder="1" applyAlignment="1" applyProtection="1">
      <alignment vertical="center"/>
      <protection/>
    </xf>
    <xf numFmtId="176" fontId="0" fillId="8" borderId="80" xfId="0" applyNumberFormat="1" applyFill="1" applyBorder="1" applyAlignment="1" applyProtection="1">
      <alignment vertical="center"/>
      <protection/>
    </xf>
    <xf numFmtId="176" fontId="0" fillId="8" borderId="55" xfId="0" applyNumberFormat="1" applyFill="1" applyBorder="1" applyAlignment="1" applyProtection="1">
      <alignment vertical="center"/>
      <protection/>
    </xf>
    <xf numFmtId="0" fontId="0" fillId="0" borderId="81"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176" fontId="60" fillId="0" borderId="79" xfId="0" applyNumberFormat="1" applyFont="1" applyFill="1" applyBorder="1" applyAlignment="1" applyProtection="1">
      <alignment horizontal="right" vertical="center"/>
      <protection/>
    </xf>
    <xf numFmtId="176" fontId="60" fillId="0" borderId="80" xfId="0" applyNumberFormat="1" applyFont="1" applyFill="1" applyBorder="1" applyAlignment="1" applyProtection="1">
      <alignment horizontal="right" vertical="center"/>
      <protection/>
    </xf>
    <xf numFmtId="176" fontId="60" fillId="0" borderId="55" xfId="0" applyNumberFormat="1" applyFont="1" applyFill="1" applyBorder="1" applyAlignment="1" applyProtection="1">
      <alignment horizontal="right" vertical="center"/>
      <protection/>
    </xf>
    <xf numFmtId="0" fontId="0" fillId="0" borderId="34"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82" xfId="0" applyFill="1" applyBorder="1" applyAlignment="1" applyProtection="1">
      <alignment horizontal="center" vertical="center"/>
      <protection/>
    </xf>
    <xf numFmtId="0" fontId="0" fillId="0" borderId="83"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176" fontId="0" fillId="0" borderId="79" xfId="0" applyNumberFormat="1" applyBorder="1" applyAlignment="1" applyProtection="1">
      <alignment vertical="center"/>
      <protection/>
    </xf>
    <xf numFmtId="176" fontId="0" fillId="0" borderId="80" xfId="0" applyNumberFormat="1" applyBorder="1" applyAlignment="1" applyProtection="1">
      <alignment vertical="center"/>
      <protection/>
    </xf>
    <xf numFmtId="176" fontId="0" fillId="0" borderId="55" xfId="0" applyNumberFormat="1" applyBorder="1" applyAlignment="1" applyProtection="1">
      <alignment vertical="center"/>
      <protection/>
    </xf>
    <xf numFmtId="177" fontId="0" fillId="0" borderId="79" xfId="0" applyNumberFormat="1" applyBorder="1" applyAlignment="1" applyProtection="1">
      <alignment vertical="center"/>
      <protection/>
    </xf>
    <xf numFmtId="177" fontId="0" fillId="0" borderId="80" xfId="0" applyNumberFormat="1" applyBorder="1" applyAlignment="1" applyProtection="1">
      <alignment vertical="center"/>
      <protection/>
    </xf>
    <xf numFmtId="177" fontId="0" fillId="0" borderId="55" xfId="0" applyNumberFormat="1" applyBorder="1" applyAlignment="1" applyProtection="1">
      <alignment vertical="center"/>
      <protection/>
    </xf>
    <xf numFmtId="0" fontId="0" fillId="0" borderId="0" xfId="0" applyAlignment="1" applyProtection="1">
      <alignment horizontal="right" vertical="center"/>
      <protection/>
    </xf>
    <xf numFmtId="178" fontId="0" fillId="0" borderId="1" xfId="0" applyNumberFormat="1" applyBorder="1" applyAlignment="1" applyProtection="1">
      <alignment horizontal="center" vertical="center"/>
      <protection/>
    </xf>
    <xf numFmtId="0" fontId="8" fillId="41" borderId="10" xfId="0" applyFont="1" applyFill="1" applyBorder="1" applyAlignment="1" applyProtection="1">
      <alignment horizontal="center" vertical="center"/>
      <protection/>
    </xf>
    <xf numFmtId="0" fontId="8" fillId="41" borderId="14" xfId="0" applyFont="1" applyFill="1" applyBorder="1" applyAlignment="1" applyProtection="1">
      <alignment horizontal="center" vertical="center"/>
      <protection/>
    </xf>
    <xf numFmtId="0" fontId="8" fillId="41" borderId="11" xfId="0" applyFont="1" applyFill="1" applyBorder="1" applyAlignment="1" applyProtection="1">
      <alignment horizontal="center" vertical="center"/>
      <protection/>
    </xf>
    <xf numFmtId="0" fontId="0" fillId="41" borderId="84" xfId="0" applyFont="1" applyFill="1" applyBorder="1" applyAlignment="1" applyProtection="1">
      <alignment vertical="center"/>
      <protection/>
    </xf>
    <xf numFmtId="0" fontId="0" fillId="41" borderId="74" xfId="0" applyFont="1" applyFill="1" applyBorder="1" applyAlignment="1" applyProtection="1">
      <alignment vertical="center"/>
      <protection/>
    </xf>
    <xf numFmtId="0" fontId="0" fillId="41" borderId="51" xfId="0" applyFont="1" applyFill="1" applyBorder="1" applyAlignment="1" applyProtection="1">
      <alignment vertical="center"/>
      <protection/>
    </xf>
    <xf numFmtId="0" fontId="8" fillId="5" borderId="85" xfId="0" applyFont="1" applyFill="1" applyBorder="1" applyAlignment="1" applyProtection="1">
      <alignment horizontal="center" vertical="center"/>
      <protection/>
    </xf>
    <xf numFmtId="0" fontId="8" fillId="5" borderId="83" xfId="0" applyFont="1" applyFill="1" applyBorder="1" applyAlignment="1" applyProtection="1">
      <alignment horizontal="center" vertical="center"/>
      <protection/>
    </xf>
    <xf numFmtId="0" fontId="8" fillId="5" borderId="68" xfId="0" applyFont="1" applyFill="1" applyBorder="1" applyAlignment="1" applyProtection="1">
      <alignment horizontal="center" vertical="center"/>
      <protection/>
    </xf>
    <xf numFmtId="0" fontId="0" fillId="5" borderId="84" xfId="0" applyFont="1" applyFill="1" applyBorder="1" applyAlignment="1" applyProtection="1">
      <alignment vertical="center"/>
      <protection/>
    </xf>
    <xf numFmtId="0" fontId="0" fillId="5" borderId="74" xfId="0" applyFont="1" applyFill="1" applyBorder="1" applyAlignment="1" applyProtection="1">
      <alignment vertical="center"/>
      <protection/>
    </xf>
    <xf numFmtId="0" fontId="0" fillId="5" borderId="51" xfId="0" applyFont="1" applyFill="1" applyBorder="1" applyAlignment="1" applyProtection="1">
      <alignment vertical="center"/>
      <protection/>
    </xf>
    <xf numFmtId="0" fontId="0" fillId="25" borderId="10" xfId="0" applyFill="1" applyBorder="1" applyAlignment="1" applyProtection="1">
      <alignment horizontal="center" vertical="center"/>
      <protection/>
    </xf>
    <xf numFmtId="0" fontId="0" fillId="25" borderId="12" xfId="0" applyFill="1" applyBorder="1" applyAlignment="1" applyProtection="1">
      <alignment horizontal="center" vertical="center"/>
      <protection/>
    </xf>
    <xf numFmtId="0" fontId="0" fillId="25" borderId="13" xfId="0" applyFill="1" applyBorder="1" applyAlignment="1" applyProtection="1">
      <alignment horizontal="center" vertical="center"/>
      <protection/>
    </xf>
    <xf numFmtId="0" fontId="0" fillId="25" borderId="14" xfId="0" applyFill="1" applyBorder="1" applyAlignment="1" applyProtection="1">
      <alignment horizontal="center" vertical="center"/>
      <protection/>
    </xf>
    <xf numFmtId="0" fontId="0" fillId="25" borderId="0" xfId="0" applyFill="1" applyBorder="1" applyAlignment="1" applyProtection="1">
      <alignment horizontal="center" vertical="center"/>
      <protection/>
    </xf>
    <xf numFmtId="0" fontId="0" fillId="25" borderId="16" xfId="0" applyFill="1" applyBorder="1" applyAlignment="1" applyProtection="1">
      <alignment horizontal="center" vertical="center"/>
      <protection/>
    </xf>
    <xf numFmtId="0" fontId="0" fillId="25" borderId="11" xfId="0" applyFill="1" applyBorder="1" applyAlignment="1" applyProtection="1">
      <alignment horizontal="center" vertical="center"/>
      <protection/>
    </xf>
    <xf numFmtId="0" fontId="0" fillId="25" borderId="15" xfId="0" applyFill="1" applyBorder="1" applyAlignment="1" applyProtection="1">
      <alignment horizontal="center" vertical="center"/>
      <protection/>
    </xf>
    <xf numFmtId="0" fontId="0" fillId="25" borderId="17" xfId="0" applyFill="1" applyBorder="1" applyAlignment="1" applyProtection="1">
      <alignment horizontal="center" vertical="center"/>
      <protection/>
    </xf>
    <xf numFmtId="177" fontId="0" fillId="16" borderId="38" xfId="0" applyNumberFormat="1" applyFill="1" applyBorder="1" applyAlignment="1" applyProtection="1">
      <alignment vertical="center"/>
      <protection/>
    </xf>
    <xf numFmtId="176" fontId="0" fillId="0" borderId="79" xfId="0" applyNumberFormat="1" applyFill="1" applyBorder="1" applyAlignment="1" applyProtection="1">
      <alignment horizontal="right" vertical="center"/>
      <protection/>
    </xf>
    <xf numFmtId="176" fontId="0" fillId="0" borderId="80" xfId="0" applyNumberFormat="1" applyFill="1" applyBorder="1" applyAlignment="1" applyProtection="1">
      <alignment horizontal="right" vertical="center"/>
      <protection/>
    </xf>
    <xf numFmtId="176" fontId="0" fillId="0" borderId="55" xfId="0" applyNumberFormat="1" applyFill="1" applyBorder="1" applyAlignment="1" applyProtection="1">
      <alignment horizontal="right" vertical="center"/>
      <protection/>
    </xf>
    <xf numFmtId="176" fontId="0" fillId="40" borderId="79" xfId="0" applyNumberFormat="1" applyFill="1" applyBorder="1" applyAlignment="1" applyProtection="1">
      <alignment vertical="center"/>
      <protection/>
    </xf>
    <xf numFmtId="176" fontId="0" fillId="40" borderId="80" xfId="0" applyNumberFormat="1" applyFill="1" applyBorder="1" applyAlignment="1" applyProtection="1">
      <alignment vertical="center"/>
      <protection/>
    </xf>
    <xf numFmtId="176" fontId="0" fillId="40" borderId="55" xfId="0" applyNumberFormat="1" applyFill="1" applyBorder="1" applyAlignment="1" applyProtection="1">
      <alignment vertical="center"/>
      <protection/>
    </xf>
    <xf numFmtId="176" fontId="0" fillId="16" borderId="79" xfId="0" applyNumberFormat="1" applyFill="1" applyBorder="1" applyAlignment="1" applyProtection="1">
      <alignment vertical="center"/>
      <protection/>
    </xf>
    <xf numFmtId="176" fontId="0" fillId="16" borderId="80" xfId="0" applyNumberFormat="1" applyFill="1" applyBorder="1" applyAlignment="1" applyProtection="1">
      <alignment vertical="center"/>
      <protection/>
    </xf>
    <xf numFmtId="176" fontId="0" fillId="16" borderId="55" xfId="0" applyNumberFormat="1" applyFill="1" applyBorder="1" applyAlignment="1" applyProtection="1">
      <alignment vertical="center"/>
      <protection/>
    </xf>
    <xf numFmtId="0" fontId="8" fillId="4" borderId="65" xfId="0" applyFont="1" applyFill="1" applyBorder="1" applyAlignment="1" applyProtection="1">
      <alignment horizontal="center" vertical="center"/>
      <protection/>
    </xf>
    <xf numFmtId="0" fontId="8" fillId="4" borderId="66" xfId="0" applyFont="1" applyFill="1" applyBorder="1" applyAlignment="1" applyProtection="1">
      <alignment horizontal="center" vertical="center"/>
      <protection/>
    </xf>
    <xf numFmtId="0" fontId="8" fillId="4" borderId="86" xfId="0" applyFont="1" applyFill="1" applyBorder="1" applyAlignment="1" applyProtection="1">
      <alignment horizontal="center" vertical="center"/>
      <protection/>
    </xf>
    <xf numFmtId="0" fontId="8" fillId="26" borderId="65" xfId="0" applyFont="1" applyFill="1" applyBorder="1" applyAlignment="1" applyProtection="1">
      <alignment horizontal="center" vertical="center"/>
      <protection/>
    </xf>
    <xf numFmtId="0" fontId="8" fillId="26" borderId="66" xfId="0" applyFont="1" applyFill="1" applyBorder="1" applyAlignment="1" applyProtection="1">
      <alignment horizontal="center" vertical="center"/>
      <protection/>
    </xf>
    <xf numFmtId="0" fontId="8" fillId="26" borderId="86" xfId="0" applyFont="1" applyFill="1" applyBorder="1" applyAlignment="1" applyProtection="1">
      <alignment horizontal="center" vertical="center"/>
      <protection/>
    </xf>
    <xf numFmtId="0" fontId="5" fillId="4" borderId="43" xfId="0" applyFont="1" applyFill="1" applyBorder="1" applyAlignment="1" applyProtection="1">
      <alignment horizontal="center" vertical="center"/>
      <protection/>
    </xf>
    <xf numFmtId="0" fontId="5" fillId="4" borderId="76" xfId="0" applyFont="1" applyFill="1" applyBorder="1" applyAlignment="1" applyProtection="1">
      <alignment horizontal="center" vertical="center"/>
      <protection/>
    </xf>
    <xf numFmtId="0" fontId="5" fillId="4" borderId="62" xfId="0" applyFont="1" applyFill="1" applyBorder="1" applyAlignment="1" applyProtection="1">
      <alignment horizontal="center" vertical="center"/>
      <protection/>
    </xf>
    <xf numFmtId="0" fontId="0" fillId="9" borderId="0" xfId="0" applyFill="1" applyAlignment="1" applyProtection="1">
      <alignment horizontal="center" vertical="center"/>
      <protection/>
    </xf>
    <xf numFmtId="0" fontId="0" fillId="0" borderId="1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3" borderId="79" xfId="0" applyFill="1" applyBorder="1" applyAlignment="1" applyProtection="1">
      <alignment horizontal="center" vertical="center"/>
      <protection/>
    </xf>
    <xf numFmtId="0" fontId="0" fillId="3" borderId="55"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5" fillId="26" borderId="43" xfId="0" applyFont="1" applyFill="1" applyBorder="1" applyAlignment="1" applyProtection="1">
      <alignment horizontal="center" vertical="center"/>
      <protection/>
    </xf>
    <xf numFmtId="0" fontId="5" fillId="26" borderId="76" xfId="0" applyFont="1" applyFill="1" applyBorder="1" applyAlignment="1" applyProtection="1">
      <alignment horizontal="center" vertical="center"/>
      <protection/>
    </xf>
    <xf numFmtId="0" fontId="5" fillId="26" borderId="62" xfId="0" applyFont="1" applyFill="1" applyBorder="1" applyAlignment="1" applyProtection="1">
      <alignment horizontal="center" vertical="center"/>
      <protection/>
    </xf>
    <xf numFmtId="0" fontId="0" fillId="9" borderId="65" xfId="0" applyFill="1" applyBorder="1" applyAlignment="1" applyProtection="1">
      <alignment horizontal="center" vertical="center"/>
      <protection/>
    </xf>
    <xf numFmtId="0" fontId="0" fillId="9" borderId="66" xfId="0" applyFill="1" applyBorder="1" applyAlignment="1" applyProtection="1">
      <alignment horizontal="center" vertical="center"/>
      <protection/>
    </xf>
    <xf numFmtId="0" fontId="0" fillId="9" borderId="86" xfId="0"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181" fontId="0" fillId="16" borderId="20" xfId="0" applyNumberFormat="1" applyFill="1" applyBorder="1" applyAlignment="1" applyProtection="1">
      <alignment horizontal="center" vertical="center"/>
      <protection/>
    </xf>
    <xf numFmtId="0" fontId="0" fillId="2" borderId="82" xfId="0" applyFill="1" applyBorder="1" applyAlignment="1" applyProtection="1">
      <alignment horizontal="center" vertical="center" wrapText="1"/>
      <protection/>
    </xf>
    <xf numFmtId="0" fontId="0" fillId="2" borderId="40" xfId="0" applyFill="1" applyBorder="1" applyAlignment="1" applyProtection="1">
      <alignment horizontal="center" vertical="center"/>
      <protection/>
    </xf>
    <xf numFmtId="0" fontId="0" fillId="0" borderId="37" xfId="0" applyBorder="1" applyAlignment="1" applyProtection="1">
      <alignment vertical="center"/>
      <protection/>
    </xf>
    <xf numFmtId="0" fontId="0" fillId="6" borderId="42" xfId="0" applyFill="1" applyBorder="1" applyAlignment="1" applyProtection="1">
      <alignment horizontal="center" vertical="center"/>
      <protection/>
    </xf>
    <xf numFmtId="0" fontId="0" fillId="6" borderId="19" xfId="0" applyFill="1" applyBorder="1" applyAlignment="1" applyProtection="1">
      <alignment horizontal="center" vertical="center"/>
      <protection/>
    </xf>
    <xf numFmtId="0" fontId="0" fillId="6" borderId="73" xfId="0" applyFill="1" applyBorder="1" applyAlignment="1" applyProtection="1">
      <alignment horizontal="center" vertical="center"/>
      <protection/>
    </xf>
    <xf numFmtId="0" fontId="2" fillId="4" borderId="43" xfId="0" applyFont="1" applyFill="1" applyBorder="1" applyAlignment="1" applyProtection="1">
      <alignment horizontal="center" vertical="center"/>
      <protection/>
    </xf>
    <xf numFmtId="0" fontId="2" fillId="4" borderId="76" xfId="0" applyFont="1" applyFill="1" applyBorder="1" applyAlignment="1" applyProtection="1">
      <alignment horizontal="center" vertical="center"/>
      <protection/>
    </xf>
    <xf numFmtId="0" fontId="2" fillId="4" borderId="62" xfId="0" applyFont="1" applyFill="1" applyBorder="1" applyAlignment="1" applyProtection="1">
      <alignment horizontal="center" vertical="center"/>
      <protection/>
    </xf>
    <xf numFmtId="0" fontId="0" fillId="25" borderId="63" xfId="0" applyFill="1" applyBorder="1" applyAlignment="1" applyProtection="1">
      <alignment horizontal="center" vertical="center"/>
      <protection/>
    </xf>
    <xf numFmtId="0" fontId="0" fillId="25" borderId="64" xfId="0" applyFill="1" applyBorder="1" applyAlignment="1" applyProtection="1">
      <alignment horizontal="center" vertical="center"/>
      <protection/>
    </xf>
    <xf numFmtId="0" fontId="0" fillId="25" borderId="77" xfId="0" applyFill="1" applyBorder="1" applyAlignment="1" applyProtection="1">
      <alignment horizontal="center" vertical="center"/>
      <protection/>
    </xf>
    <xf numFmtId="0" fontId="0" fillId="6" borderId="65" xfId="0" applyFill="1" applyBorder="1" applyAlignment="1" applyProtection="1">
      <alignment horizontal="center" vertical="center"/>
      <protection/>
    </xf>
    <xf numFmtId="0" fontId="0" fillId="6" borderId="66" xfId="0" applyFill="1" applyBorder="1" applyAlignment="1" applyProtection="1">
      <alignment horizontal="center" vertical="center"/>
      <protection/>
    </xf>
    <xf numFmtId="0" fontId="0" fillId="6" borderId="86" xfId="0" applyFill="1" applyBorder="1" applyAlignment="1" applyProtection="1">
      <alignment horizontal="center" vertical="center"/>
      <protection/>
    </xf>
    <xf numFmtId="0" fontId="0" fillId="6" borderId="41" xfId="0" applyFill="1" applyBorder="1" applyAlignment="1" applyProtection="1">
      <alignment horizontal="center" vertical="center"/>
      <protection/>
    </xf>
    <xf numFmtId="0" fontId="0" fillId="6" borderId="61" xfId="0" applyFill="1" applyBorder="1" applyAlignment="1" applyProtection="1">
      <alignment horizontal="center" vertical="center"/>
      <protection/>
    </xf>
    <xf numFmtId="0" fontId="0" fillId="6" borderId="78"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9" borderId="0" xfId="0" applyFill="1" applyBorder="1" applyAlignment="1" applyProtection="1">
      <alignment horizontal="center" vertical="center"/>
      <protection/>
    </xf>
    <xf numFmtId="0" fontId="58" fillId="14" borderId="0" xfId="0" applyFont="1" applyFill="1" applyAlignment="1">
      <alignment horizontal="center" vertical="center"/>
    </xf>
    <xf numFmtId="0" fontId="59" fillId="9" borderId="0" xfId="0" applyFont="1" applyFill="1" applyAlignment="1">
      <alignment horizontal="center" vertical="center"/>
    </xf>
    <xf numFmtId="0" fontId="59" fillId="7" borderId="0" xfId="0" applyFont="1" applyFill="1" applyAlignment="1">
      <alignment horizontal="center" vertical="center"/>
    </xf>
    <xf numFmtId="0" fontId="59" fillId="8" borderId="0" xfId="0" applyFont="1" applyFill="1" applyAlignment="1">
      <alignment horizontal="center" vertical="center"/>
    </xf>
    <xf numFmtId="0" fontId="59" fillId="6" borderId="0" xfId="0" applyFont="1" applyFill="1" applyAlignment="1">
      <alignment horizontal="center" vertical="center"/>
    </xf>
    <xf numFmtId="0" fontId="59" fillId="12" borderId="0" xfId="0" applyFont="1" applyFill="1" applyBorder="1" applyAlignment="1">
      <alignment horizontal="center" vertical="center"/>
    </xf>
    <xf numFmtId="0" fontId="59" fillId="19" borderId="0" xfId="0" applyFont="1" applyFill="1" applyBorder="1" applyAlignment="1">
      <alignment horizontal="center" vertical="center"/>
    </xf>
    <xf numFmtId="0" fontId="59" fillId="16" borderId="87" xfId="0" applyFont="1" applyFill="1" applyBorder="1" applyAlignment="1">
      <alignment horizontal="center" vertical="center"/>
    </xf>
    <xf numFmtId="0" fontId="59" fillId="16" borderId="88" xfId="0" applyFont="1" applyFill="1" applyBorder="1" applyAlignment="1">
      <alignment horizontal="center" vertical="center"/>
    </xf>
    <xf numFmtId="0" fontId="59" fillId="16" borderId="71" xfId="0" applyFont="1" applyFill="1" applyBorder="1" applyAlignment="1">
      <alignment horizontal="center" vertical="center"/>
    </xf>
    <xf numFmtId="0" fontId="59" fillId="16" borderId="37" xfId="0" applyFont="1" applyFill="1" applyBorder="1" applyAlignment="1">
      <alignment horizontal="center" vertical="center"/>
    </xf>
    <xf numFmtId="0" fontId="59" fillId="16" borderId="0" xfId="0" applyFont="1" applyFill="1" applyBorder="1" applyAlignment="1">
      <alignment horizontal="center" vertical="center"/>
    </xf>
    <xf numFmtId="0" fontId="59" fillId="16" borderId="75" xfId="0" applyFont="1" applyFill="1" applyBorder="1" applyAlignment="1">
      <alignment horizontal="center" vertical="center"/>
    </xf>
    <xf numFmtId="0" fontId="59" fillId="16" borderId="69" xfId="0" applyFont="1" applyFill="1" applyBorder="1" applyAlignment="1">
      <alignment horizontal="center" vertical="center"/>
    </xf>
    <xf numFmtId="0" fontId="59" fillId="16" borderId="61" xfId="0" applyFont="1" applyFill="1" applyBorder="1" applyAlignment="1">
      <alignment horizontal="center" vertical="center"/>
    </xf>
    <xf numFmtId="0" fontId="59" fillId="16" borderId="46" xfId="0" applyFont="1" applyFill="1" applyBorder="1" applyAlignment="1">
      <alignment horizontal="center" vertical="center"/>
    </xf>
    <xf numFmtId="0" fontId="0" fillId="2" borderId="11" xfId="0" applyFill="1" applyBorder="1" applyAlignment="1" applyProtection="1">
      <alignment horizontal="center" vertical="center"/>
      <protection/>
    </xf>
    <xf numFmtId="0" fontId="0" fillId="2" borderId="89" xfId="0" applyFill="1" applyBorder="1" applyAlignment="1" applyProtection="1">
      <alignment horizontal="center" vertical="center"/>
      <protection/>
    </xf>
    <xf numFmtId="0" fontId="13" fillId="13"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4" fillId="9" borderId="0" xfId="0" applyFont="1" applyFill="1" applyAlignment="1" applyProtection="1">
      <alignment horizontal="center" vertical="center"/>
      <protection/>
    </xf>
    <xf numFmtId="0" fontId="38" fillId="3" borderId="53" xfId="0" applyFont="1" applyFill="1" applyBorder="1" applyAlignment="1" applyProtection="1">
      <alignment horizontal="center" vertical="center" wrapText="1"/>
      <protection/>
    </xf>
    <xf numFmtId="0" fontId="38" fillId="3" borderId="39" xfId="0" applyFont="1"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0" fillId="3" borderId="1" xfId="0" applyFill="1" applyBorder="1" applyAlignment="1" applyProtection="1">
      <alignment horizontal="center" vertical="center"/>
      <protection/>
    </xf>
    <xf numFmtId="49" fontId="33" fillId="0" borderId="67" xfId="0" applyNumberFormat="1" applyFont="1" applyBorder="1" applyAlignment="1" applyProtection="1">
      <alignment horizontal="center" vertical="center" textRotation="255"/>
      <protection/>
    </xf>
    <xf numFmtId="49" fontId="33" fillId="0" borderId="50" xfId="0" applyNumberFormat="1" applyFont="1" applyBorder="1" applyAlignment="1" applyProtection="1">
      <alignment horizontal="center" vertical="center" textRotation="255"/>
      <protection/>
    </xf>
    <xf numFmtId="0" fontId="0" fillId="2" borderId="85" xfId="0" applyFill="1" applyBorder="1" applyAlignment="1" applyProtection="1">
      <alignment horizontal="center" vertical="center"/>
      <protection/>
    </xf>
    <xf numFmtId="0" fontId="0" fillId="2" borderId="68" xfId="0" applyFill="1" applyBorder="1" applyAlignment="1" applyProtection="1">
      <alignment horizontal="center" vertical="center"/>
      <protection/>
    </xf>
    <xf numFmtId="0" fontId="34" fillId="3" borderId="7" xfId="0" applyFont="1" applyFill="1" applyBorder="1" applyAlignment="1" applyProtection="1">
      <alignment horizontal="center" vertical="center"/>
      <protection/>
    </xf>
    <xf numFmtId="0" fontId="34" fillId="3" borderId="8" xfId="0" applyFont="1" applyFill="1" applyBorder="1" applyAlignment="1" applyProtection="1">
      <alignment horizontal="center" vertical="center"/>
      <protection/>
    </xf>
    <xf numFmtId="0" fontId="34" fillId="3" borderId="1" xfId="0" applyFont="1" applyFill="1" applyBorder="1" applyAlignment="1" applyProtection="1">
      <alignment horizontal="center" vertical="center"/>
      <protection/>
    </xf>
    <xf numFmtId="0" fontId="34" fillId="3" borderId="3" xfId="0" applyFont="1" applyFill="1" applyBorder="1" applyAlignment="1" applyProtection="1">
      <alignment horizontal="center" vertical="center"/>
      <protection/>
    </xf>
    <xf numFmtId="0" fontId="0" fillId="3" borderId="6" xfId="0" applyFill="1" applyBorder="1" applyAlignment="1" applyProtection="1">
      <alignment horizontal="center" vertical="center"/>
      <protection/>
    </xf>
    <xf numFmtId="0" fontId="0" fillId="3" borderId="2" xfId="0" applyFill="1" applyBorder="1" applyAlignment="1" applyProtection="1">
      <alignment horizontal="center" vertical="center"/>
      <protection/>
    </xf>
    <xf numFmtId="0" fontId="0" fillId="9" borderId="1" xfId="0" applyFill="1" applyBorder="1" applyAlignment="1" applyProtection="1">
      <alignment horizontal="center" vertical="center"/>
      <protection/>
    </xf>
    <xf numFmtId="0" fontId="5" fillId="9" borderId="1" xfId="0" applyFont="1" applyFill="1" applyBorder="1" applyAlignment="1" applyProtection="1">
      <alignment horizontal="center" vertical="center" wrapText="1"/>
      <protection/>
    </xf>
    <xf numFmtId="0" fontId="0" fillId="9" borderId="90" xfId="0" applyFill="1" applyBorder="1" applyAlignment="1" applyProtection="1">
      <alignment horizontal="center" vertical="center"/>
      <protection/>
    </xf>
    <xf numFmtId="0" fontId="0" fillId="9" borderId="12" xfId="0" applyFill="1" applyBorder="1" applyAlignment="1" applyProtection="1">
      <alignment horizontal="center" vertical="center"/>
      <protection/>
    </xf>
    <xf numFmtId="0" fontId="0" fillId="9" borderId="91" xfId="0" applyFill="1" applyBorder="1" applyAlignment="1" applyProtection="1">
      <alignment horizontal="center" vertical="center"/>
      <protection/>
    </xf>
    <xf numFmtId="0" fontId="0" fillId="2" borderId="84" xfId="0" applyFill="1" applyBorder="1" applyAlignment="1" applyProtection="1">
      <alignment horizontal="center" vertical="center"/>
      <protection/>
    </xf>
    <xf numFmtId="0" fontId="0" fillId="2" borderId="51" xfId="0" applyFill="1" applyBorder="1" applyAlignment="1" applyProtection="1">
      <alignment horizontal="center" vertical="center"/>
      <protection/>
    </xf>
    <xf numFmtId="0" fontId="13" fillId="11" borderId="14" xfId="0" applyFont="1" applyFill="1" applyBorder="1" applyAlignment="1" applyProtection="1">
      <alignment horizontal="center" vertical="center"/>
      <protection/>
    </xf>
    <xf numFmtId="0" fontId="13" fillId="13" borderId="0" xfId="0" applyFont="1" applyFill="1" applyBorder="1" applyAlignment="1" applyProtection="1">
      <alignment horizontal="center" vertical="center"/>
      <protection/>
    </xf>
    <xf numFmtId="0" fontId="0" fillId="8" borderId="0" xfId="0" applyFill="1" applyBorder="1" applyAlignment="1" applyProtection="1">
      <alignment horizontal="center" vertical="center"/>
      <protection/>
    </xf>
    <xf numFmtId="0" fontId="0" fillId="12" borderId="0" xfId="0" applyFill="1" applyBorder="1" applyAlignment="1" applyProtection="1">
      <alignment horizontal="center" vertical="center"/>
      <protection/>
    </xf>
    <xf numFmtId="0" fontId="46" fillId="18" borderId="0" xfId="0" applyFont="1" applyFill="1" applyAlignment="1" applyProtection="1">
      <alignment horizontal="center" vertical="top"/>
      <protection/>
    </xf>
    <xf numFmtId="0" fontId="39" fillId="18" borderId="0" xfId="0" applyFont="1" applyFill="1" applyAlignment="1" applyProtection="1">
      <alignment horizontal="left" vertical="center"/>
      <protection/>
    </xf>
    <xf numFmtId="0" fontId="31" fillId="18" borderId="0" xfId="0" applyFont="1" applyFill="1" applyAlignment="1" applyProtection="1">
      <alignment horizontal="center" vertical="center"/>
      <protection/>
    </xf>
    <xf numFmtId="0" fontId="50" fillId="18" borderId="0" xfId="0" applyFont="1" applyFill="1" applyAlignment="1" applyProtection="1">
      <alignment horizontal="center" vertical="center"/>
      <protection/>
    </xf>
    <xf numFmtId="0" fontId="61" fillId="18" borderId="0" xfId="0" applyFont="1" applyFill="1" applyAlignment="1" applyProtection="1">
      <alignment horizontal="center" vertical="center"/>
      <protection/>
    </xf>
    <xf numFmtId="0" fontId="13" fillId="13" borderId="67" xfId="0" applyNumberFormat="1" applyFont="1" applyFill="1" applyBorder="1" applyAlignment="1" applyProtection="1">
      <alignment horizontal="center" vertical="center"/>
      <protection/>
    </xf>
    <xf numFmtId="0" fontId="13" fillId="13" borderId="39" xfId="0" applyNumberFormat="1" applyFont="1" applyFill="1" applyBorder="1" applyAlignment="1" applyProtection="1">
      <alignment horizontal="center" vertical="center"/>
      <protection/>
    </xf>
    <xf numFmtId="49" fontId="57" fillId="14" borderId="67" xfId="0" applyNumberFormat="1" applyFont="1" applyFill="1" applyBorder="1" applyAlignment="1" applyProtection="1">
      <alignment horizontal="center" vertical="center"/>
      <protection/>
    </xf>
    <xf numFmtId="49" fontId="57" fillId="14" borderId="39" xfId="0" applyNumberFormat="1" applyFont="1" applyFill="1" applyBorder="1" applyAlignment="1" applyProtection="1">
      <alignment horizontal="center" vertical="center"/>
      <protection/>
    </xf>
    <xf numFmtId="0" fontId="42" fillId="2" borderId="10" xfId="0" applyFont="1" applyFill="1" applyBorder="1" applyAlignment="1" applyProtection="1">
      <alignment horizontal="center" vertical="center"/>
      <protection/>
    </xf>
    <xf numFmtId="0" fontId="42" fillId="2" borderId="13" xfId="0" applyFont="1" applyFill="1" applyBorder="1" applyAlignment="1" applyProtection="1">
      <alignment horizontal="center" vertical="center"/>
      <protection/>
    </xf>
    <xf numFmtId="0" fontId="42" fillId="2" borderId="11" xfId="0" applyFont="1" applyFill="1" applyBorder="1" applyAlignment="1" applyProtection="1">
      <alignment horizontal="center" vertical="center"/>
      <protection/>
    </xf>
    <xf numFmtId="0" fontId="42" fillId="2" borderId="17" xfId="0" applyFont="1" applyFill="1" applyBorder="1" applyAlignment="1" applyProtection="1">
      <alignment horizontal="center" vertical="center"/>
      <protection/>
    </xf>
    <xf numFmtId="0" fontId="13" fillId="11" borderId="0" xfId="0" applyFont="1" applyFill="1" applyAlignment="1" applyProtection="1">
      <alignment vertical="center"/>
      <protection/>
    </xf>
    <xf numFmtId="178" fontId="0" fillId="0" borderId="34" xfId="0" applyNumberFormat="1" applyFont="1" applyBorder="1" applyAlignment="1" applyProtection="1">
      <alignment vertical="center"/>
      <protection locked="0"/>
    </xf>
    <xf numFmtId="0" fontId="0" fillId="0" borderId="81" xfId="0" applyFont="1" applyBorder="1" applyAlignment="1" applyProtection="1">
      <alignment horizontal="center" vertical="center"/>
      <protection locked="0"/>
    </xf>
    <xf numFmtId="0" fontId="2" fillId="7" borderId="71" xfId="0" applyFont="1" applyFill="1" applyBorder="1" applyAlignment="1" applyProtection="1">
      <alignment vertical="center"/>
      <protection locked="0"/>
    </xf>
    <xf numFmtId="0" fontId="0" fillId="0" borderId="37" xfId="0" applyFont="1" applyBorder="1" applyAlignment="1" applyProtection="1">
      <alignment horizontal="center" vertical="center"/>
      <protection locked="0"/>
    </xf>
    <xf numFmtId="0" fontId="0" fillId="8" borderId="67" xfId="0" applyFont="1" applyFill="1" applyBorder="1" applyAlignment="1" applyProtection="1">
      <alignment horizontal="center" vertical="center"/>
      <protection/>
    </xf>
    <xf numFmtId="0" fontId="0" fillId="2" borderId="67" xfId="0" applyFont="1" applyFill="1" applyBorder="1" applyAlignment="1" applyProtection="1">
      <alignment horizontal="center" vertical="center"/>
      <protection locked="0"/>
    </xf>
    <xf numFmtId="0" fontId="8" fillId="0" borderId="40" xfId="0" applyFont="1" applyFill="1" applyBorder="1" applyAlignment="1" quotePrefix="1">
      <alignment horizontal="center" vertical="center"/>
    </xf>
    <xf numFmtId="0" fontId="8" fillId="0" borderId="4" xfId="0" applyFont="1" applyFill="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FFC3"/>
        </patternFill>
      </fill>
      <border/>
    </dxf>
    <dxf>
      <fill>
        <patternFill>
          <bgColor rgb="FFFF0000"/>
        </patternFill>
      </fill>
      <border/>
    </dxf>
    <dxf>
      <font>
        <b/>
        <i/>
        <color rgb="FFFF89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9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FFFF"/>
      <rgbColor rgb="00DDFFDD"/>
      <rgbColor rgb="00FFFFC3"/>
      <rgbColor rgb="0099CCFF"/>
      <rgbColor rgb="00FFD1E8"/>
      <rgbColor rgb="00EBD7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得 点</a:t>
            </a:r>
          </a:p>
        </c:rich>
      </c:tx>
      <c:layout>
        <c:manualLayout>
          <c:xMode val="factor"/>
          <c:yMode val="factor"/>
          <c:x val="-0.0225"/>
          <c:y val="0.41275"/>
        </c:manualLayout>
      </c:layout>
      <c:spPr>
        <a:noFill/>
        <a:ln>
          <a:noFill/>
        </a:ln>
      </c:spPr>
    </c:title>
    <c:plotArea>
      <c:layout>
        <c:manualLayout>
          <c:xMode val="edge"/>
          <c:yMode val="edge"/>
          <c:x val="0.0435"/>
          <c:y val="0.029"/>
          <c:w val="0.88"/>
          <c:h val="0.92"/>
        </c:manualLayout>
      </c:layout>
      <c:doughnutChart>
        <c:varyColors val="1"/>
        <c:ser>
          <c:idx val="0"/>
          <c:order val="0"/>
          <c:tx>
            <c:strRef>
              <c:f>'得失Ａ'!$G$2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1FFFF"/>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2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'得失Ａ'!$H$4:$M$4</c:f>
              <c:strCache/>
            </c:strRef>
          </c:cat>
          <c:val>
            <c:numRef>
              <c:f>'得失Ａ'!$H$2:$M$2</c:f>
              <c:numCache>
                <c:ptCount val="6"/>
                <c:pt idx="0">
                  <c:v>0</c:v>
                </c:pt>
                <c:pt idx="1">
                  <c:v>0</c:v>
                </c:pt>
                <c:pt idx="2">
                  <c:v>0</c:v>
                </c:pt>
                <c:pt idx="3">
                  <c:v>0</c:v>
                </c:pt>
                <c:pt idx="4">
                  <c:v>0</c:v>
                </c:pt>
                <c:pt idx="5">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失 点</a:t>
            </a:r>
          </a:p>
        </c:rich>
      </c:tx>
      <c:layout>
        <c:manualLayout>
          <c:xMode val="factor"/>
          <c:yMode val="factor"/>
          <c:x val="-0.1675"/>
          <c:y val="0.4345"/>
        </c:manualLayout>
      </c:layout>
      <c:spPr>
        <a:noFill/>
        <a:ln>
          <a:noFill/>
        </a:ln>
      </c:spPr>
    </c:title>
    <c:plotArea>
      <c:layout>
        <c:manualLayout>
          <c:xMode val="edge"/>
          <c:yMode val="edge"/>
          <c:x val="0.02725"/>
          <c:y val="0.051"/>
          <c:w val="0.6015"/>
          <c:h val="0.92"/>
        </c:manualLayout>
      </c:layout>
      <c:doughnutChart>
        <c:varyColors val="1"/>
        <c:ser>
          <c:idx val="0"/>
          <c:order val="0"/>
          <c:tx>
            <c:strRef>
              <c:f>'得失Ｅ'!$G$3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'得失Ｅ'!$H$4:$M$4</c:f>
              <c:strCache/>
            </c:strRef>
          </c:cat>
          <c:val>
            <c:numRef>
              <c:f>'得失Ｅ'!$H$3:$M$3</c:f>
              <c:numCache>
                <c:ptCount val="6"/>
                <c:pt idx="0">
                  <c:v>0</c:v>
                </c:pt>
                <c:pt idx="1">
                  <c:v>0</c:v>
                </c:pt>
                <c:pt idx="2">
                  <c:v>0</c:v>
                </c:pt>
                <c:pt idx="3">
                  <c:v>0</c:v>
                </c:pt>
                <c:pt idx="4">
                  <c:v>0</c:v>
                </c:pt>
                <c:pt idx="5">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得 点</a:t>
            </a:r>
          </a:p>
        </c:rich>
      </c:tx>
      <c:layout>
        <c:manualLayout>
          <c:xMode val="factor"/>
          <c:yMode val="factor"/>
          <c:x val="-0.01775"/>
          <c:y val="0.4405"/>
        </c:manualLayout>
      </c:layout>
      <c:spPr>
        <a:noFill/>
        <a:ln>
          <a:noFill/>
        </a:ln>
      </c:spPr>
    </c:title>
    <c:plotArea>
      <c:layout>
        <c:manualLayout>
          <c:xMode val="edge"/>
          <c:yMode val="edge"/>
          <c:x val="0.00175"/>
          <c:y val="0.06575"/>
          <c:w val="0.947"/>
          <c:h val="0.92275"/>
        </c:manualLayout>
      </c:layout>
      <c:doughnutChart>
        <c:varyColors val="1"/>
        <c:ser>
          <c:idx val="0"/>
          <c:order val="0"/>
          <c:tx>
            <c:strRef>
              <c:f>'得失Ｆ'!$G$2</c:f>
              <c:strCache>
                <c:ptCount val="1"/>
                <c:pt idx="0">
                  <c:v>得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FFC3"/>
              </a:solidFill>
            </c:spPr>
          </c:dPt>
          <c:dPt>
            <c:idx val="5"/>
            <c:spPr>
              <a:solidFill>
                <a:srgbClr val="EBD7FF"/>
              </a:solidFill>
            </c:spPr>
          </c:dPt>
          <c:dPt>
            <c:idx val="6"/>
            <c:spPr>
              <a:solidFill>
                <a:srgbClr val="FFFFFF"/>
              </a:solidFill>
            </c:spPr>
          </c:dPt>
          <c:dLbls>
            <c:dLbl>
              <c:idx val="0"/>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'得失Ｆ'!$H$4:$M$4</c:f>
              <c:strCache/>
            </c:strRef>
          </c:cat>
          <c:val>
            <c:numRef>
              <c:f>'得失Ｆ'!$H$2:$M$2</c:f>
              <c:numCache>
                <c:ptCount val="6"/>
                <c:pt idx="0">
                  <c:v>0</c:v>
                </c:pt>
                <c:pt idx="1">
                  <c:v>0</c:v>
                </c:pt>
                <c:pt idx="2">
                  <c:v>0</c:v>
                </c:pt>
                <c:pt idx="3">
                  <c:v>0</c:v>
                </c:pt>
                <c:pt idx="4">
                  <c:v>0</c:v>
                </c:pt>
                <c:pt idx="5">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失 点</a:t>
            </a:r>
          </a:p>
        </c:rich>
      </c:tx>
      <c:layout>
        <c:manualLayout>
          <c:xMode val="factor"/>
          <c:yMode val="factor"/>
          <c:x val="-0.177"/>
          <c:y val="0.43825"/>
        </c:manualLayout>
      </c:layout>
      <c:spPr>
        <a:noFill/>
        <a:ln>
          <a:noFill/>
        </a:ln>
      </c:spPr>
    </c:title>
    <c:plotArea>
      <c:layout>
        <c:manualLayout>
          <c:xMode val="edge"/>
          <c:yMode val="edge"/>
          <c:x val="0.025"/>
          <c:y val="0.0655"/>
          <c:w val="0.5975"/>
          <c:h val="0.9145"/>
        </c:manualLayout>
      </c:layout>
      <c:doughnutChart>
        <c:varyColors val="1"/>
        <c:ser>
          <c:idx val="0"/>
          <c:order val="0"/>
          <c:tx>
            <c:strRef>
              <c:f>'得失Ｆ'!$G$3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FFC3"/>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'得失Ｆ'!$H$4:$M$4</c:f>
              <c:strCache/>
            </c:strRef>
          </c:cat>
          <c:val>
            <c:numRef>
              <c:f>'得失Ｆ'!$H$3:$M$3</c:f>
              <c:numCache>
                <c:ptCount val="6"/>
                <c:pt idx="0">
                  <c:v>0</c:v>
                </c:pt>
                <c:pt idx="1">
                  <c:v>0</c:v>
                </c:pt>
                <c:pt idx="2">
                  <c:v>0</c:v>
                </c:pt>
                <c:pt idx="3">
                  <c:v>0</c:v>
                </c:pt>
                <c:pt idx="4">
                  <c:v>0</c:v>
                </c:pt>
                <c:pt idx="5">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得 点</a:t>
            </a:r>
          </a:p>
        </c:rich>
      </c:tx>
      <c:layout>
        <c:manualLayout>
          <c:xMode val="factor"/>
          <c:yMode val="factor"/>
          <c:x val="-0.023"/>
          <c:y val="0.439"/>
        </c:manualLayout>
      </c:layout>
      <c:spPr>
        <a:noFill/>
        <a:ln>
          <a:noFill/>
        </a:ln>
      </c:spPr>
    </c:title>
    <c:plotArea>
      <c:layout>
        <c:manualLayout>
          <c:xMode val="edge"/>
          <c:yMode val="edge"/>
          <c:x val="0.00175"/>
          <c:y val="0.06575"/>
          <c:w val="0.95025"/>
          <c:h val="0.926"/>
        </c:manualLayout>
      </c:layout>
      <c:doughnutChart>
        <c:varyColors val="1"/>
        <c:ser>
          <c:idx val="0"/>
          <c:order val="0"/>
          <c:tx>
            <c:strRef>
              <c:f>'得失Ｇ'!$G$2</c:f>
              <c:strCache>
                <c:ptCount val="1"/>
                <c:pt idx="0">
                  <c:v>得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FFC3"/>
              </a:solidFill>
            </c:spPr>
          </c:dPt>
          <c:dPt>
            <c:idx val="5"/>
            <c:spPr>
              <a:solidFill>
                <a:srgbClr val="FFCC99"/>
              </a:solidFill>
            </c:spPr>
          </c:dPt>
          <c:dPt>
            <c:idx val="6"/>
            <c:spPr>
              <a:solidFill>
                <a:srgbClr val="FFFFFF"/>
              </a:solidFill>
            </c:spPr>
          </c:dPt>
          <c:dLbls>
            <c:dLbl>
              <c:idx val="0"/>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2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'得失Ｇ'!$H$4:$M$4</c:f>
              <c:strCache/>
            </c:strRef>
          </c:cat>
          <c:val>
            <c:numRef>
              <c:f>'得失Ｇ'!$H$2:$M$2</c:f>
              <c:numCache>
                <c:ptCount val="6"/>
                <c:pt idx="0">
                  <c:v>0</c:v>
                </c:pt>
                <c:pt idx="1">
                  <c:v>0</c:v>
                </c:pt>
                <c:pt idx="2">
                  <c:v>0</c:v>
                </c:pt>
                <c:pt idx="3">
                  <c:v>0</c:v>
                </c:pt>
                <c:pt idx="4">
                  <c:v>0</c:v>
                </c:pt>
                <c:pt idx="5">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失 点</a:t>
            </a:r>
          </a:p>
        </c:rich>
      </c:tx>
      <c:layout>
        <c:manualLayout>
          <c:xMode val="factor"/>
          <c:yMode val="factor"/>
          <c:x val="-0.17575"/>
          <c:y val="0.4455"/>
        </c:manualLayout>
      </c:layout>
      <c:spPr>
        <a:noFill/>
        <a:ln>
          <a:noFill/>
        </a:ln>
      </c:spPr>
    </c:title>
    <c:plotArea>
      <c:layout>
        <c:manualLayout>
          <c:xMode val="edge"/>
          <c:yMode val="edge"/>
          <c:x val="0.01775"/>
          <c:y val="0.0655"/>
          <c:w val="0.6065"/>
          <c:h val="0.929"/>
        </c:manualLayout>
      </c:layout>
      <c:doughnutChart>
        <c:varyColors val="1"/>
        <c:ser>
          <c:idx val="0"/>
          <c:order val="0"/>
          <c:tx>
            <c:strRef>
              <c:f>'得失Ｇ'!$G$3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FFC3"/>
              </a:solidFill>
            </c:spPr>
          </c:dPt>
          <c:dPt>
            <c:idx val="5"/>
            <c:spPr>
              <a:solidFill>
                <a:srgbClr val="FFCC99"/>
              </a:solidFill>
            </c:spPr>
          </c:dPt>
          <c:dPt>
            <c:idx val="6"/>
            <c:spPr>
              <a:solidFill>
                <a:srgbClr val="FFFFFF"/>
              </a:solidFill>
            </c:spPr>
          </c:dPt>
          <c:dLbls>
            <c:dLbl>
              <c:idx val="0"/>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6"/>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2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'得失Ｇ'!$H$4:$M$4</c:f>
              <c:strCache/>
            </c:strRef>
          </c:cat>
          <c:val>
            <c:numRef>
              <c:f>'得失Ｇ'!$H$3:$M$3</c:f>
              <c:numCache>
                <c:ptCount val="6"/>
                <c:pt idx="0">
                  <c:v>0</c:v>
                </c:pt>
                <c:pt idx="1">
                  <c:v>0</c:v>
                </c:pt>
                <c:pt idx="2">
                  <c:v>0</c:v>
                </c:pt>
                <c:pt idx="3">
                  <c:v>0</c:v>
                </c:pt>
                <c:pt idx="4">
                  <c:v>0</c:v>
                </c:pt>
                <c:pt idx="5">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75" b="0" i="0" u="none" baseline="0">
                <a:latin typeface="ＭＳ ゴシック"/>
                <a:ea typeface="ＭＳ ゴシック"/>
                <a:cs typeface="ＭＳ ゴシック"/>
              </a:rPr>
              <a:t>得 点</a:t>
            </a:r>
          </a:p>
        </c:rich>
      </c:tx>
      <c:layout>
        <c:manualLayout>
          <c:xMode val="factor"/>
          <c:yMode val="factor"/>
          <c:x val="-0.00875"/>
          <c:y val="0.43725"/>
        </c:manualLayout>
      </c:layout>
      <c:spPr>
        <a:noFill/>
        <a:ln>
          <a:noFill/>
        </a:ln>
      </c:spPr>
    </c:title>
    <c:plotArea>
      <c:layout>
        <c:manualLayout>
          <c:xMode val="edge"/>
          <c:yMode val="edge"/>
          <c:x val="0.00175"/>
          <c:y val="0.06975"/>
          <c:w val="0.945"/>
          <c:h val="0.917"/>
        </c:manualLayout>
      </c:layout>
      <c:doughnutChart>
        <c:varyColors val="1"/>
        <c:ser>
          <c:idx val="0"/>
          <c:order val="0"/>
          <c:tx>
            <c:strRef>
              <c:f>'得失Ｈ'!$G$2</c:f>
              <c:strCache>
                <c:ptCount val="1"/>
                <c:pt idx="0">
                  <c:v>得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FFC3"/>
              </a:solidFill>
            </c:spPr>
          </c:dPt>
          <c:dPt>
            <c:idx val="5"/>
            <c:spPr>
              <a:solidFill>
                <a:srgbClr val="FFCC99"/>
              </a:solidFill>
            </c:spPr>
          </c:dPt>
          <c:dPt>
            <c:idx val="6"/>
            <c:spPr>
              <a:solidFill>
                <a:srgbClr val="EBD7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'得失Ｈ'!$H$4:$N$4</c:f>
              <c:strCache/>
            </c:strRef>
          </c:cat>
          <c:val>
            <c:numRef>
              <c:f>'得失Ｈ'!$H$2:$N$2</c:f>
              <c:numCache>
                <c:ptCount val="7"/>
                <c:pt idx="0">
                  <c:v>0</c:v>
                </c:pt>
                <c:pt idx="1">
                  <c:v>0</c:v>
                </c:pt>
                <c:pt idx="2">
                  <c:v>0</c:v>
                </c:pt>
                <c:pt idx="3">
                  <c:v>0</c:v>
                </c:pt>
                <c:pt idx="4">
                  <c:v>0</c:v>
                </c:pt>
                <c:pt idx="5">
                  <c:v>0</c:v>
                </c:pt>
                <c:pt idx="6">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50" b="0" i="0" u="none" baseline="0">
                <a:latin typeface="ＭＳ ゴシック"/>
                <a:ea typeface="ＭＳ ゴシック"/>
                <a:cs typeface="ＭＳ ゴシック"/>
              </a:rPr>
              <a:t>失 点</a:t>
            </a:r>
          </a:p>
        </c:rich>
      </c:tx>
      <c:layout>
        <c:manualLayout>
          <c:xMode val="factor"/>
          <c:yMode val="factor"/>
          <c:x val="-0.0035"/>
          <c:y val="0.44225"/>
        </c:manualLayout>
      </c:layout>
      <c:spPr>
        <a:noFill/>
        <a:ln>
          <a:noFill/>
        </a:ln>
      </c:spPr>
    </c:title>
    <c:plotArea>
      <c:layout>
        <c:manualLayout>
          <c:xMode val="edge"/>
          <c:yMode val="edge"/>
          <c:x val="0.0145"/>
          <c:y val="0.07375"/>
          <c:w val="0.92325"/>
          <c:h val="0.91275"/>
        </c:manualLayout>
      </c:layout>
      <c:doughnutChart>
        <c:varyColors val="1"/>
        <c:ser>
          <c:idx val="0"/>
          <c:order val="0"/>
          <c:tx>
            <c:strRef>
              <c:f>'得失Ｈ'!$G$3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FFC3"/>
              </a:solidFill>
            </c:spPr>
          </c:dPt>
          <c:dPt>
            <c:idx val="5"/>
            <c:spPr>
              <a:solidFill>
                <a:srgbClr val="FFCC99"/>
              </a:solidFill>
            </c:spPr>
          </c:dPt>
          <c:dPt>
            <c:idx val="6"/>
            <c:spPr>
              <a:solidFill>
                <a:srgbClr val="EBD7FF"/>
              </a:solidFill>
            </c:spPr>
          </c:dPt>
          <c:dLbls>
            <c:dLbl>
              <c:idx val="0"/>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95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5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'得失Ｈ'!$H$4:$N$4</c:f>
              <c:strCache/>
            </c:strRef>
          </c:cat>
          <c:val>
            <c:numRef>
              <c:f>'得失Ｈ'!$H$3:$N$3</c:f>
              <c:numCache>
                <c:ptCount val="7"/>
                <c:pt idx="0">
                  <c:v>0</c:v>
                </c:pt>
                <c:pt idx="1">
                  <c:v>0</c:v>
                </c:pt>
                <c:pt idx="2">
                  <c:v>0</c:v>
                </c:pt>
                <c:pt idx="3">
                  <c:v>0</c:v>
                </c:pt>
                <c:pt idx="4">
                  <c:v>0</c:v>
                </c:pt>
                <c:pt idx="5">
                  <c:v>0</c:v>
                </c:pt>
                <c:pt idx="6">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失 点</a:t>
            </a:r>
          </a:p>
        </c:rich>
      </c:tx>
      <c:layout>
        <c:manualLayout>
          <c:xMode val="factor"/>
          <c:yMode val="factor"/>
          <c:x val="-0.18525"/>
          <c:y val="0.42375"/>
        </c:manualLayout>
      </c:layout>
      <c:spPr>
        <a:noFill/>
        <a:ln>
          <a:noFill/>
        </a:ln>
      </c:spPr>
    </c:title>
    <c:plotArea>
      <c:layout>
        <c:manualLayout>
          <c:xMode val="edge"/>
          <c:yMode val="edge"/>
          <c:x val="0.012"/>
          <c:y val="0.03825"/>
          <c:w val="0.6045"/>
          <c:h val="0.9255"/>
        </c:manualLayout>
      </c:layout>
      <c:doughnutChart>
        <c:varyColors val="1"/>
        <c:ser>
          <c:idx val="0"/>
          <c:order val="0"/>
          <c:tx>
            <c:strRef>
              <c:f>'得失Ａ'!$G$3</c:f>
              <c:strCache>
                <c:ptCount val="1"/>
                <c:pt idx="0">
                  <c:v>失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1FFFF"/>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3"/>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6"/>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2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'得失Ａ'!$H$4:$M$4</c:f>
              <c:strCache/>
            </c:strRef>
          </c:cat>
          <c:val>
            <c:numRef>
              <c:f>'得失Ａ'!$H$3:$M$3</c:f>
              <c:numCache>
                <c:ptCount val="6"/>
                <c:pt idx="0">
                  <c:v>0</c:v>
                </c:pt>
                <c:pt idx="1">
                  <c:v>0</c:v>
                </c:pt>
                <c:pt idx="2">
                  <c:v>0</c:v>
                </c:pt>
                <c:pt idx="3">
                  <c:v>0</c:v>
                </c:pt>
                <c:pt idx="4">
                  <c:v>0</c:v>
                </c:pt>
                <c:pt idx="5">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得 点</a:t>
            </a:r>
          </a:p>
        </c:rich>
      </c:tx>
      <c:layout>
        <c:manualLayout>
          <c:xMode val="factor"/>
          <c:yMode val="factor"/>
          <c:x val="-0.0105"/>
          <c:y val="0.4285"/>
        </c:manualLayout>
      </c:layout>
      <c:spPr>
        <a:noFill/>
        <a:ln>
          <a:noFill/>
        </a:ln>
      </c:spPr>
    </c:title>
    <c:plotArea>
      <c:layout>
        <c:manualLayout>
          <c:xMode val="edge"/>
          <c:yMode val="edge"/>
          <c:x val="0"/>
          <c:y val="0.06225"/>
          <c:w val="0.9465"/>
          <c:h val="0.9205"/>
        </c:manualLayout>
      </c:layout>
      <c:doughnutChart>
        <c:varyColors val="1"/>
        <c:ser>
          <c:idx val="0"/>
          <c:order val="0"/>
          <c:tx>
            <c:strRef>
              <c:f>'得失Ｂ'!$G$2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2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2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'得失Ｂ'!$H$4:$M$4</c:f>
              <c:strCache/>
            </c:strRef>
          </c:cat>
          <c:val>
            <c:numRef>
              <c:f>'得失Ｂ'!$H$2:$M$2</c:f>
              <c:numCache>
                <c:ptCount val="6"/>
                <c:pt idx="0">
                  <c:v>0</c:v>
                </c:pt>
                <c:pt idx="1">
                  <c:v>0</c:v>
                </c:pt>
                <c:pt idx="2">
                  <c:v>0</c:v>
                </c:pt>
                <c:pt idx="3">
                  <c:v>0</c:v>
                </c:pt>
                <c:pt idx="4">
                  <c:v>0</c:v>
                </c:pt>
                <c:pt idx="5">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失 点</a:t>
            </a:r>
          </a:p>
        </c:rich>
      </c:tx>
      <c:layout>
        <c:manualLayout>
          <c:xMode val="factor"/>
          <c:yMode val="factor"/>
          <c:x val="-0.16275"/>
          <c:y val="0.44"/>
        </c:manualLayout>
      </c:layout>
      <c:spPr>
        <a:noFill/>
        <a:ln>
          <a:noFill/>
        </a:ln>
      </c:spPr>
    </c:title>
    <c:plotArea>
      <c:layout>
        <c:manualLayout>
          <c:xMode val="edge"/>
          <c:yMode val="edge"/>
          <c:x val="0.03825"/>
          <c:y val="0.0725"/>
          <c:w val="0.58775"/>
          <c:h val="0.9075"/>
        </c:manualLayout>
      </c:layout>
      <c:doughnutChart>
        <c:varyColors val="1"/>
        <c:ser>
          <c:idx val="0"/>
          <c:order val="0"/>
          <c:tx>
            <c:strRef>
              <c:f>'得失Ｂ'!$G$3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FFD1E8"/>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6"/>
              <c:txPr>
                <a:bodyPr vert="horz" rot="0" anchor="ctr"/>
                <a:lstStyle/>
                <a:p>
                  <a:pPr algn="ctr">
                    <a:defRPr lang="en-US" cap="none" sz="1975"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975"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'得失Ｂ'!$H$4:$M$4</c:f>
              <c:strCache/>
            </c:strRef>
          </c:cat>
          <c:val>
            <c:numRef>
              <c:f>'得失Ｂ'!$H$3:$M$3</c:f>
              <c:numCache>
                <c:ptCount val="6"/>
                <c:pt idx="0">
                  <c:v>0</c:v>
                </c:pt>
                <c:pt idx="1">
                  <c:v>0</c:v>
                </c:pt>
                <c:pt idx="2">
                  <c:v>0</c:v>
                </c:pt>
                <c:pt idx="3">
                  <c:v>0</c:v>
                </c:pt>
                <c:pt idx="4">
                  <c:v>0</c:v>
                </c:pt>
                <c:pt idx="5">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得 点</a:t>
            </a:r>
          </a:p>
        </c:rich>
      </c:tx>
      <c:layout>
        <c:manualLayout>
          <c:xMode val="factor"/>
          <c:yMode val="factor"/>
          <c:x val="-0.02475"/>
          <c:y val="0.42525"/>
        </c:manualLayout>
      </c:layout>
      <c:spPr>
        <a:noFill/>
        <a:ln>
          <a:noFill/>
        </a:ln>
      </c:spPr>
    </c:title>
    <c:plotArea>
      <c:layout>
        <c:manualLayout>
          <c:xMode val="edge"/>
          <c:yMode val="edge"/>
          <c:x val="0"/>
          <c:y val="0.06025"/>
          <c:w val="0.952"/>
          <c:h val="0.9245"/>
        </c:manualLayout>
      </c:layout>
      <c:doughnutChart>
        <c:varyColors val="1"/>
        <c:ser>
          <c:idx val="0"/>
          <c:order val="0"/>
          <c:tx>
            <c:strRef>
              <c:f>'得失Ｃ'!$G$2</c:f>
              <c:strCache>
                <c:ptCount val="1"/>
                <c:pt idx="0">
                  <c:v>得　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E1FFFF"/>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'得失Ｃ'!$H$4:$M$4</c:f>
              <c:strCache/>
            </c:strRef>
          </c:cat>
          <c:val>
            <c:numRef>
              <c:f>'得失Ｃ'!$H$2:$M$2</c:f>
              <c:numCache>
                <c:ptCount val="6"/>
                <c:pt idx="0">
                  <c:v>0</c:v>
                </c:pt>
                <c:pt idx="1">
                  <c:v>0</c:v>
                </c:pt>
                <c:pt idx="2">
                  <c:v>0</c:v>
                </c:pt>
                <c:pt idx="3">
                  <c:v>0</c:v>
                </c:pt>
                <c:pt idx="4">
                  <c:v>0</c:v>
                </c:pt>
                <c:pt idx="5">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失 点</a:t>
            </a:r>
          </a:p>
        </c:rich>
      </c:tx>
      <c:layout>
        <c:manualLayout>
          <c:xMode val="factor"/>
          <c:yMode val="factor"/>
          <c:x val="-0.1745"/>
          <c:y val="0.44175"/>
        </c:manualLayout>
      </c:layout>
      <c:spPr>
        <a:noFill/>
        <a:ln>
          <a:noFill/>
        </a:ln>
      </c:spPr>
    </c:title>
    <c:plotArea>
      <c:layout>
        <c:manualLayout>
          <c:xMode val="edge"/>
          <c:yMode val="edge"/>
          <c:x val="0.0215"/>
          <c:y val="0.0655"/>
          <c:w val="0.601"/>
          <c:h val="0.92"/>
        </c:manualLayout>
      </c:layout>
      <c:doughnutChart>
        <c:varyColors val="1"/>
        <c:ser>
          <c:idx val="0"/>
          <c:order val="0"/>
          <c:tx>
            <c:strRef>
              <c:f>'得失Ｃ'!$G$3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DDFFDD"/>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'得失Ｃ'!$H$4:$M$4</c:f>
              <c:strCache/>
            </c:strRef>
          </c:cat>
          <c:val>
            <c:numRef>
              <c:f>'得失Ｃ'!$H$3:$M$3</c:f>
              <c:numCache>
                <c:ptCount val="6"/>
                <c:pt idx="0">
                  <c:v>0</c:v>
                </c:pt>
                <c:pt idx="1">
                  <c:v>0</c:v>
                </c:pt>
                <c:pt idx="2">
                  <c:v>0</c:v>
                </c:pt>
                <c:pt idx="3">
                  <c:v>0</c:v>
                </c:pt>
                <c:pt idx="4">
                  <c:v>0</c:v>
                </c:pt>
                <c:pt idx="5">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得 点</a:t>
            </a:r>
          </a:p>
        </c:rich>
      </c:tx>
      <c:layout>
        <c:manualLayout>
          <c:xMode val="factor"/>
          <c:yMode val="factor"/>
          <c:x val="-0.01775"/>
          <c:y val="0.4405"/>
        </c:manualLayout>
      </c:layout>
      <c:spPr>
        <a:noFill/>
        <a:ln>
          <a:noFill/>
        </a:ln>
      </c:spPr>
    </c:title>
    <c:plotArea>
      <c:layout>
        <c:manualLayout>
          <c:xMode val="edge"/>
          <c:yMode val="edge"/>
          <c:x val="0.00175"/>
          <c:y val="0.06425"/>
          <c:w val="0.94925"/>
          <c:h val="0.92225"/>
        </c:manualLayout>
      </c:layout>
      <c:doughnutChart>
        <c:varyColors val="1"/>
        <c:ser>
          <c:idx val="0"/>
          <c:order val="0"/>
          <c:tx>
            <c:strRef>
              <c:f>'得失Ｄ'!$G$2</c:f>
              <c:strCache>
                <c:ptCount val="1"/>
                <c:pt idx="0">
                  <c:v>得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'得失Ｄ'!$H$4:$M$4</c:f>
              <c:strCache/>
            </c:strRef>
          </c:cat>
          <c:val>
            <c:numRef>
              <c:f>'得失Ｄ'!$H$2:$M$2</c:f>
              <c:numCache>
                <c:ptCount val="6"/>
                <c:pt idx="0">
                  <c:v>0</c:v>
                </c:pt>
                <c:pt idx="1">
                  <c:v>0</c:v>
                </c:pt>
                <c:pt idx="2">
                  <c:v>0</c:v>
                </c:pt>
                <c:pt idx="3">
                  <c:v>0</c:v>
                </c:pt>
                <c:pt idx="4">
                  <c:v>0</c:v>
                </c:pt>
                <c:pt idx="5">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失 点</a:t>
            </a:r>
          </a:p>
        </c:rich>
      </c:tx>
      <c:layout>
        <c:manualLayout>
          <c:xMode val="factor"/>
          <c:yMode val="factor"/>
          <c:x val="-0.1735"/>
          <c:y val="0.43625"/>
        </c:manualLayout>
      </c:layout>
      <c:spPr>
        <a:noFill/>
        <a:ln>
          <a:noFill/>
        </a:ln>
      </c:spPr>
    </c:title>
    <c:plotArea>
      <c:layout>
        <c:manualLayout>
          <c:xMode val="edge"/>
          <c:yMode val="edge"/>
          <c:x val="0.02375"/>
          <c:y val="0.05825"/>
          <c:w val="0.59875"/>
          <c:h val="0.91625"/>
        </c:manualLayout>
      </c:layout>
      <c:doughnutChart>
        <c:varyColors val="1"/>
        <c:ser>
          <c:idx val="0"/>
          <c:order val="0"/>
          <c:tx>
            <c:strRef>
              <c:f>'得失Ｄ'!$G$3</c:f>
              <c:strCache>
                <c:ptCount val="1"/>
                <c:pt idx="0">
                  <c:v>失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FFFFC3"/>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3"/>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4"/>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'得失Ｄ'!$H$4:$M$4</c:f>
              <c:strCache/>
            </c:strRef>
          </c:cat>
          <c:val>
            <c:numRef>
              <c:f>'得失Ｄ'!$H$3:$M$3</c:f>
              <c:numCache>
                <c:ptCount val="6"/>
                <c:pt idx="0">
                  <c:v>0</c:v>
                </c:pt>
                <c:pt idx="1">
                  <c:v>0</c:v>
                </c:pt>
                <c:pt idx="2">
                  <c:v>0</c:v>
                </c:pt>
                <c:pt idx="3">
                  <c:v>0</c:v>
                </c:pt>
                <c:pt idx="4">
                  <c:v>0</c:v>
                </c:pt>
                <c:pt idx="5">
                  <c:v>0</c:v>
                </c:pt>
              </c:numCache>
            </c:numRef>
          </c:val>
        </c:ser>
        <c:holeSize val="40"/>
      </c:doughnutChart>
      <c:spPr>
        <a:solidFill>
          <a:srgbClr val="FFFF00"/>
        </a:solidFill>
        <a:ln w="3175">
          <a:noFill/>
        </a:ln>
      </c:spPr>
    </c:plotArea>
    <c:plotVisOnly val="1"/>
    <c:dispBlanksAs val="gap"/>
    <c:showDLblsOverMax val="0"/>
  </c:chart>
  <c:spPr>
    <a:ln w="3175">
      <a:noFill/>
    </a:ln>
  </c:spPr>
  <c:txPr>
    <a:bodyPr vert="horz" rot="0"/>
    <a:lstStyle/>
    <a:p>
      <a:pPr>
        <a:defRPr lang="en-US" cap="none" sz="1775" b="0" i="0" u="none" baseline="0">
          <a:latin typeface="ＭＳ ゴシック"/>
          <a:ea typeface="ＭＳ ゴシック"/>
          <a:cs typeface="ＭＳ 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625" b="0" i="0" u="none" baseline="0">
                <a:latin typeface="ＭＳ ゴシック"/>
                <a:ea typeface="ＭＳ ゴシック"/>
                <a:cs typeface="ＭＳ ゴシック"/>
              </a:rPr>
              <a:t>得 点</a:t>
            </a:r>
          </a:p>
        </c:rich>
      </c:tx>
      <c:layout>
        <c:manualLayout>
          <c:xMode val="factor"/>
          <c:yMode val="factor"/>
          <c:x val="-0.0195"/>
          <c:y val="0.432"/>
        </c:manualLayout>
      </c:layout>
      <c:spPr>
        <a:noFill/>
        <a:ln>
          <a:noFill/>
        </a:ln>
      </c:spPr>
    </c:title>
    <c:plotArea>
      <c:layout>
        <c:manualLayout>
          <c:xMode val="edge"/>
          <c:yMode val="edge"/>
          <c:x val="0"/>
          <c:y val="0.0565"/>
          <c:w val="0.95325"/>
          <c:h val="0.9285"/>
        </c:manualLayout>
      </c:layout>
      <c:doughnutChart>
        <c:varyColors val="1"/>
        <c:ser>
          <c:idx val="0"/>
          <c:order val="0"/>
          <c:tx>
            <c:strRef>
              <c:f>'得失Ｅ'!$G$2</c:f>
              <c:strCache>
                <c:ptCount val="1"/>
                <c:pt idx="0">
                  <c:v>得　点</c:v>
                </c:pt>
              </c:strCache>
            </c:strRef>
          </c:tx>
          <c:spPr>
            <a:solidFill>
              <a:srgbClr val="800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c:spPr>
          </c:dPt>
          <c:dPt>
            <c:idx val="1"/>
            <c:spPr>
              <a:solidFill>
                <a:srgbClr val="E1FFFF"/>
              </a:solidFill>
            </c:spPr>
          </c:dPt>
          <c:dPt>
            <c:idx val="2"/>
            <c:spPr>
              <a:solidFill>
                <a:srgbClr val="FFD1E8"/>
              </a:solidFill>
            </c:spPr>
          </c:dPt>
          <c:dPt>
            <c:idx val="3"/>
            <c:spPr>
              <a:solidFill>
                <a:srgbClr val="DDFFDD"/>
              </a:solidFill>
            </c:spPr>
          </c:dPt>
          <c:dPt>
            <c:idx val="4"/>
            <c:spPr>
              <a:solidFill>
                <a:srgbClr val="FFCC99"/>
              </a:solidFill>
            </c:spPr>
          </c:dPt>
          <c:dPt>
            <c:idx val="5"/>
            <c:spPr>
              <a:solidFill>
                <a:srgbClr val="EBD7FF"/>
              </a:solidFill>
            </c:spPr>
          </c:dPt>
          <c:dPt>
            <c:idx val="6"/>
            <c:spPr>
              <a:solidFill>
                <a:srgbClr val="FFFFFF"/>
              </a:solidFill>
            </c:spPr>
          </c:dPt>
          <c:dLbls>
            <c:dLbl>
              <c:idx val="0"/>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2000" b="0" i="0" u="none" baseline="0">
                      <a:latin typeface="ＭＳ ゴシック"/>
                      <a:ea typeface="ＭＳ ゴシック"/>
                      <a:cs typeface="ＭＳ 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2000" b="0" i="0" u="none" baseline="0">
                    <a:latin typeface="ＭＳ ゴシック"/>
                    <a:ea typeface="ＭＳ ゴシック"/>
                    <a:cs typeface="ＭＳ ゴシック"/>
                  </a:defRPr>
                </a:pPr>
              </a:p>
            </c:txPr>
            <c:showLegendKey val="0"/>
            <c:showVal val="1"/>
            <c:showBubbleSize val="0"/>
            <c:showCatName val="1"/>
            <c:showSerName val="0"/>
            <c:showLeaderLines val="1"/>
            <c:showPercent val="0"/>
          </c:dLbls>
          <c:cat>
            <c:strRef>
              <c:f>'得失Ｅ'!$H$4:$M$4</c:f>
              <c:strCache/>
            </c:strRef>
          </c:cat>
          <c:val>
            <c:numRef>
              <c:f>'得失Ｅ'!$H$2:$M$2</c:f>
              <c:numCache>
                <c:ptCount val="6"/>
                <c:pt idx="0">
                  <c:v>0</c:v>
                </c:pt>
                <c:pt idx="1">
                  <c:v>0</c:v>
                </c:pt>
                <c:pt idx="2">
                  <c:v>0</c:v>
                </c:pt>
                <c:pt idx="3">
                  <c:v>0</c:v>
                </c:pt>
                <c:pt idx="4">
                  <c:v>0</c:v>
                </c:pt>
                <c:pt idx="5">
                  <c:v>0</c:v>
                </c:pt>
              </c:numCache>
            </c:numRef>
          </c:val>
        </c:ser>
        <c:holeSize val="40"/>
      </c:doughnutChart>
      <c:spPr>
        <a:solidFill>
          <a:srgbClr val="00FFFF"/>
        </a:solidFill>
        <a:ln w="3175">
          <a:noFill/>
        </a:ln>
      </c:spPr>
    </c:plotArea>
    <c:plotVisOnly val="1"/>
    <c:dispBlanksAs val="gap"/>
    <c:showDLblsOverMax val="0"/>
  </c:chart>
  <c:spPr>
    <a:ln w="3175">
      <a:noFill/>
    </a:ln>
  </c:spPr>
  <c:txPr>
    <a:bodyPr vert="horz" rot="0"/>
    <a:lstStyle/>
    <a:p>
      <a:pPr>
        <a:defRPr lang="en-US" cap="none" sz="1200" b="0" i="0" u="none" baseline="0">
          <a:latin typeface="ＭＳ ゴシック"/>
          <a:ea typeface="ＭＳ ゴシック"/>
          <a:cs typeface="ＭＳ 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6</xdr:row>
      <xdr:rowOff>85725</xdr:rowOff>
    </xdr:from>
    <xdr:to>
      <xdr:col>9</xdr:col>
      <xdr:colOff>466725</xdr:colOff>
      <xdr:row>6</xdr:row>
      <xdr:rowOff>276225</xdr:rowOff>
    </xdr:to>
    <xdr:sp>
      <xdr:nvSpPr>
        <xdr:cNvPr id="1" name="TextBox 1"/>
        <xdr:cNvSpPr txBox="1">
          <a:spLocks noChangeArrowheads="1"/>
        </xdr:cNvSpPr>
      </xdr:nvSpPr>
      <xdr:spPr>
        <a:xfrm>
          <a:off x="2895600" y="1190625"/>
          <a:ext cx="4467225" cy="190500"/>
        </a:xfrm>
        <a:prstGeom prst="rect">
          <a:avLst/>
        </a:prstGeom>
        <a:solidFill>
          <a:srgbClr val="FFFFFF"/>
        </a:solidFill>
        <a:ln w="9525" cmpd="sng">
          <a:noFill/>
        </a:ln>
      </xdr:spPr>
      <xdr:txBody>
        <a:bodyPr vertOverflow="clip" wrap="square"/>
        <a:p>
          <a:pPr algn="ctr">
            <a:defRPr/>
          </a:pPr>
          <a:r>
            <a:rPr lang="en-US" cap="none" sz="1200" b="0" i="0" u="none" baseline="0">
              <a:latin typeface="ＭＳ ゴシック"/>
              <a:ea typeface="ＭＳ ゴシック"/>
              <a:cs typeface="ＭＳ ゴシック"/>
            </a:rPr>
            <a:t>チーム名</a:t>
          </a:r>
        </a:p>
      </xdr:txBody>
    </xdr:sp>
    <xdr:clientData/>
  </xdr:twoCellAnchor>
  <xdr:twoCellAnchor>
    <xdr:from>
      <xdr:col>3</xdr:col>
      <xdr:colOff>352425</xdr:colOff>
      <xdr:row>7</xdr:row>
      <xdr:rowOff>85725</xdr:rowOff>
    </xdr:from>
    <xdr:to>
      <xdr:col>3</xdr:col>
      <xdr:colOff>600075</xdr:colOff>
      <xdr:row>12</xdr:row>
      <xdr:rowOff>123825</xdr:rowOff>
    </xdr:to>
    <xdr:sp>
      <xdr:nvSpPr>
        <xdr:cNvPr id="2" name="TextBox 2"/>
        <xdr:cNvSpPr txBox="1">
          <a:spLocks noChangeArrowheads="1"/>
        </xdr:cNvSpPr>
      </xdr:nvSpPr>
      <xdr:spPr>
        <a:xfrm>
          <a:off x="1895475" y="1543050"/>
          <a:ext cx="247650" cy="942975"/>
        </a:xfrm>
        <a:prstGeom prst="rect">
          <a:avLst/>
        </a:prstGeom>
        <a:solidFill>
          <a:srgbClr val="FFFFFF"/>
        </a:solidFill>
        <a:ln w="9525" cmpd="sng">
          <a:noFill/>
        </a:ln>
      </xdr:spPr>
      <xdr:txBody>
        <a:bodyPr vertOverflow="clip" wrap="square" anchor="ctr" vert="wordArtVertRtl"/>
        <a:p>
          <a:pPr algn="ctr">
            <a:defRPr/>
          </a:pPr>
          <a:r>
            <a:rPr lang="en-US" cap="none" sz="1200" b="0" i="0" u="none" baseline="0">
              <a:latin typeface="ＭＳ ゴシック"/>
              <a:ea typeface="ＭＳ ゴシック"/>
              <a:cs typeface="ＭＳ ゴシック"/>
            </a:rPr>
            <a:t>チーム名</a:t>
          </a:r>
        </a:p>
      </xdr:txBody>
    </xdr:sp>
    <xdr:clientData/>
  </xdr:twoCellAnchor>
  <xdr:twoCellAnchor>
    <xdr:from>
      <xdr:col>3</xdr:col>
      <xdr:colOff>0</xdr:colOff>
      <xdr:row>6</xdr:row>
      <xdr:rowOff>0</xdr:rowOff>
    </xdr:from>
    <xdr:to>
      <xdr:col>4</xdr:col>
      <xdr:colOff>9525</xdr:colOff>
      <xdr:row>7</xdr:row>
      <xdr:rowOff>9525</xdr:rowOff>
    </xdr:to>
    <xdr:sp>
      <xdr:nvSpPr>
        <xdr:cNvPr id="3" name="Line 3"/>
        <xdr:cNvSpPr>
          <a:spLocks/>
        </xdr:cNvSpPr>
      </xdr:nvSpPr>
      <xdr:spPr>
        <a:xfrm>
          <a:off x="1543050" y="1104900"/>
          <a:ext cx="9810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476250</xdr:colOff>
      <xdr:row>37</xdr:row>
      <xdr:rowOff>19050</xdr:rowOff>
    </xdr:from>
    <xdr:to>
      <xdr:col>7</xdr:col>
      <xdr:colOff>838200</xdr:colOff>
      <xdr:row>38</xdr:row>
      <xdr:rowOff>0</xdr:rowOff>
    </xdr:to>
    <xdr:sp>
      <xdr:nvSpPr>
        <xdr:cNvPr id="4" name="TextBox 14"/>
        <xdr:cNvSpPr txBox="1">
          <a:spLocks noChangeArrowheads="1"/>
        </xdr:cNvSpPr>
      </xdr:nvSpPr>
      <xdr:spPr>
        <a:xfrm>
          <a:off x="4800600" y="6934200"/>
          <a:ext cx="1219200" cy="161925"/>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95</xdr:row>
      <xdr:rowOff>9525</xdr:rowOff>
    </xdr:from>
    <xdr:to>
      <xdr:col>4</xdr:col>
      <xdr:colOff>819150</xdr:colOff>
      <xdr:row>96</xdr:row>
      <xdr:rowOff>0</xdr:rowOff>
    </xdr:to>
    <xdr:sp>
      <xdr:nvSpPr>
        <xdr:cNvPr id="5" name="TextBox 15"/>
        <xdr:cNvSpPr txBox="1">
          <a:spLocks noChangeArrowheads="1"/>
        </xdr:cNvSpPr>
      </xdr:nvSpPr>
      <xdr:spPr>
        <a:xfrm>
          <a:off x="2514600" y="17516475"/>
          <a:ext cx="819150" cy="171450"/>
        </a:xfrm>
        <a:prstGeom prst="rect">
          <a:avLst/>
        </a:prstGeom>
        <a:solidFill>
          <a:srgbClr val="DDFFDD"/>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96</xdr:row>
      <xdr:rowOff>28575</xdr:rowOff>
    </xdr:from>
    <xdr:to>
      <xdr:col>5</xdr:col>
      <xdr:colOff>762000</xdr:colOff>
      <xdr:row>96</xdr:row>
      <xdr:rowOff>161925</xdr:rowOff>
    </xdr:to>
    <xdr:sp>
      <xdr:nvSpPr>
        <xdr:cNvPr id="6" name="TextBox 16"/>
        <xdr:cNvSpPr txBox="1">
          <a:spLocks noChangeArrowheads="1"/>
        </xdr:cNvSpPr>
      </xdr:nvSpPr>
      <xdr:spPr>
        <a:xfrm>
          <a:off x="3476625" y="17716500"/>
          <a:ext cx="752475" cy="133350"/>
        </a:xfrm>
        <a:prstGeom prst="rect">
          <a:avLst/>
        </a:prstGeom>
        <a:solidFill>
          <a:srgbClr val="FFD1E8"/>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9525</xdr:rowOff>
    </xdr:from>
    <xdr:to>
      <xdr:col>8</xdr:col>
      <xdr:colOff>571500</xdr:colOff>
      <xdr:row>37</xdr:row>
      <xdr:rowOff>28575</xdr:rowOff>
    </xdr:to>
    <xdr:graphicFrame>
      <xdr:nvGraphicFramePr>
        <xdr:cNvPr id="1" name="Chart 1"/>
        <xdr:cNvGraphicFramePr/>
      </xdr:nvGraphicFramePr>
      <xdr:xfrm>
        <a:off x="228600" y="1304925"/>
        <a:ext cx="7410450" cy="592455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848600" y="1295400"/>
        <a:ext cx="10791825" cy="59150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9525</xdr:rowOff>
    </xdr:from>
    <xdr:to>
      <xdr:col>8</xdr:col>
      <xdr:colOff>571500</xdr:colOff>
      <xdr:row>37</xdr:row>
      <xdr:rowOff>28575</xdr:rowOff>
    </xdr:to>
    <xdr:graphicFrame>
      <xdr:nvGraphicFramePr>
        <xdr:cNvPr id="1" name="Chart 1"/>
        <xdr:cNvGraphicFramePr/>
      </xdr:nvGraphicFramePr>
      <xdr:xfrm>
        <a:off x="161925" y="1323975"/>
        <a:ext cx="7410450" cy="592455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781925" y="1314450"/>
        <a:ext cx="10791825" cy="59150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xdr:row>
      <xdr:rowOff>9525</xdr:rowOff>
    </xdr:from>
    <xdr:to>
      <xdr:col>8</xdr:col>
      <xdr:colOff>571500</xdr:colOff>
      <xdr:row>37</xdr:row>
      <xdr:rowOff>19050</xdr:rowOff>
    </xdr:to>
    <xdr:graphicFrame>
      <xdr:nvGraphicFramePr>
        <xdr:cNvPr id="1" name="Chart 1"/>
        <xdr:cNvGraphicFramePr/>
      </xdr:nvGraphicFramePr>
      <xdr:xfrm>
        <a:off x="180975" y="1314450"/>
        <a:ext cx="7410450" cy="561975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800975" y="1304925"/>
        <a:ext cx="10791825" cy="56197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74</xdr:row>
      <xdr:rowOff>180975</xdr:rowOff>
    </xdr:from>
    <xdr:to>
      <xdr:col>5</xdr:col>
      <xdr:colOff>0</xdr:colOff>
      <xdr:row>75</xdr:row>
      <xdr:rowOff>171450</xdr:rowOff>
    </xdr:to>
    <xdr:sp>
      <xdr:nvSpPr>
        <xdr:cNvPr id="1" name="Line 91"/>
        <xdr:cNvSpPr>
          <a:spLocks/>
        </xdr:cNvSpPr>
      </xdr:nvSpPr>
      <xdr:spPr>
        <a:xfrm>
          <a:off x="2990850" y="13735050"/>
          <a:ext cx="8382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19050</xdr:colOff>
      <xdr:row>84</xdr:row>
      <xdr:rowOff>19050</xdr:rowOff>
    </xdr:from>
    <xdr:to>
      <xdr:col>10</xdr:col>
      <xdr:colOff>752475</xdr:colOff>
      <xdr:row>84</xdr:row>
      <xdr:rowOff>171450</xdr:rowOff>
    </xdr:to>
    <xdr:sp>
      <xdr:nvSpPr>
        <xdr:cNvPr id="2" name="Line 92"/>
        <xdr:cNvSpPr>
          <a:spLocks/>
        </xdr:cNvSpPr>
      </xdr:nvSpPr>
      <xdr:spPr>
        <a:xfrm flipH="1">
          <a:off x="8772525" y="15411450"/>
          <a:ext cx="7334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342900</xdr:colOff>
      <xdr:row>3</xdr:row>
      <xdr:rowOff>19050</xdr:rowOff>
    </xdr:from>
    <xdr:to>
      <xdr:col>33</xdr:col>
      <xdr:colOff>990600</xdr:colOff>
      <xdr:row>4</xdr:row>
      <xdr:rowOff>0</xdr:rowOff>
    </xdr:to>
    <xdr:sp>
      <xdr:nvSpPr>
        <xdr:cNvPr id="3" name="Line 93"/>
        <xdr:cNvSpPr>
          <a:spLocks/>
        </xdr:cNvSpPr>
      </xdr:nvSpPr>
      <xdr:spPr>
        <a:xfrm>
          <a:off x="27422475" y="495300"/>
          <a:ext cx="10096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352425</xdr:colOff>
      <xdr:row>14</xdr:row>
      <xdr:rowOff>19050</xdr:rowOff>
    </xdr:from>
    <xdr:to>
      <xdr:col>33</xdr:col>
      <xdr:colOff>990600</xdr:colOff>
      <xdr:row>14</xdr:row>
      <xdr:rowOff>180975</xdr:rowOff>
    </xdr:to>
    <xdr:sp>
      <xdr:nvSpPr>
        <xdr:cNvPr id="4" name="Line 94"/>
        <xdr:cNvSpPr>
          <a:spLocks/>
        </xdr:cNvSpPr>
      </xdr:nvSpPr>
      <xdr:spPr>
        <a:xfrm>
          <a:off x="27432000" y="2609850"/>
          <a:ext cx="10001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352425</xdr:colOff>
      <xdr:row>25</xdr:row>
      <xdr:rowOff>19050</xdr:rowOff>
    </xdr:from>
    <xdr:to>
      <xdr:col>33</xdr:col>
      <xdr:colOff>990600</xdr:colOff>
      <xdr:row>25</xdr:row>
      <xdr:rowOff>180975</xdr:rowOff>
    </xdr:to>
    <xdr:sp>
      <xdr:nvSpPr>
        <xdr:cNvPr id="5" name="Line 97"/>
        <xdr:cNvSpPr>
          <a:spLocks/>
        </xdr:cNvSpPr>
      </xdr:nvSpPr>
      <xdr:spPr>
        <a:xfrm>
          <a:off x="27432000" y="4648200"/>
          <a:ext cx="10001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1</xdr:row>
      <xdr:rowOff>314325</xdr:rowOff>
    </xdr:from>
    <xdr:to>
      <xdr:col>3</xdr:col>
      <xdr:colOff>1038225</xdr:colOff>
      <xdr:row>4</xdr:row>
      <xdr:rowOff>0</xdr:rowOff>
    </xdr:to>
    <xdr:sp>
      <xdr:nvSpPr>
        <xdr:cNvPr id="1" name="Line 2"/>
        <xdr:cNvSpPr>
          <a:spLocks/>
        </xdr:cNvSpPr>
      </xdr:nvSpPr>
      <xdr:spPr>
        <a:xfrm>
          <a:off x="2314575" y="419100"/>
          <a:ext cx="1085850" cy="400050"/>
        </a:xfrm>
        <a:prstGeom prst="line">
          <a:avLst/>
        </a:prstGeom>
        <a:noFill/>
        <a:ln w="76200" cmpd="sng">
          <a:solidFill>
            <a:srgbClr val="FF89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47625</xdr:rowOff>
    </xdr:from>
    <xdr:to>
      <xdr:col>8</xdr:col>
      <xdr:colOff>266700</xdr:colOff>
      <xdr:row>4</xdr:row>
      <xdr:rowOff>9525</xdr:rowOff>
    </xdr:to>
    <xdr:sp>
      <xdr:nvSpPr>
        <xdr:cNvPr id="1" name="AutoShape 11"/>
        <xdr:cNvSpPr>
          <a:spLocks/>
        </xdr:cNvSpPr>
      </xdr:nvSpPr>
      <xdr:spPr>
        <a:xfrm>
          <a:off x="7620000" y="47625"/>
          <a:ext cx="104775" cy="695325"/>
        </a:xfrm>
        <a:prstGeom prst="rightBrace">
          <a:avLst>
            <a:gd name="adj" fmla="val 9782"/>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142875</xdr:colOff>
      <xdr:row>4</xdr:row>
      <xdr:rowOff>57150</xdr:rowOff>
    </xdr:from>
    <xdr:to>
      <xdr:col>8</xdr:col>
      <xdr:colOff>247650</xdr:colOff>
      <xdr:row>8</xdr:row>
      <xdr:rowOff>28575</xdr:rowOff>
    </xdr:to>
    <xdr:sp>
      <xdr:nvSpPr>
        <xdr:cNvPr id="2" name="AutoShape 12"/>
        <xdr:cNvSpPr>
          <a:spLocks/>
        </xdr:cNvSpPr>
      </xdr:nvSpPr>
      <xdr:spPr>
        <a:xfrm>
          <a:off x="7600950" y="790575"/>
          <a:ext cx="104775" cy="695325"/>
        </a:xfrm>
        <a:prstGeom prst="rightBrace">
          <a:avLst>
            <a:gd name="adj" fmla="val 869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133350</xdr:colOff>
      <xdr:row>8</xdr:row>
      <xdr:rowOff>85725</xdr:rowOff>
    </xdr:from>
    <xdr:to>
      <xdr:col>8</xdr:col>
      <xdr:colOff>238125</xdr:colOff>
      <xdr:row>12</xdr:row>
      <xdr:rowOff>47625</xdr:rowOff>
    </xdr:to>
    <xdr:sp>
      <xdr:nvSpPr>
        <xdr:cNvPr id="3" name="AutoShape 13"/>
        <xdr:cNvSpPr>
          <a:spLocks/>
        </xdr:cNvSpPr>
      </xdr:nvSpPr>
      <xdr:spPr>
        <a:xfrm>
          <a:off x="7591425" y="1543050"/>
          <a:ext cx="104775" cy="695325"/>
        </a:xfrm>
        <a:prstGeom prst="rightBrace">
          <a:avLst>
            <a:gd name="adj" fmla="val 21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95250</xdr:rowOff>
    </xdr:from>
    <xdr:to>
      <xdr:col>2</xdr:col>
      <xdr:colOff>9525</xdr:colOff>
      <xdr:row>10</xdr:row>
      <xdr:rowOff>152400</xdr:rowOff>
    </xdr:to>
    <xdr:sp>
      <xdr:nvSpPr>
        <xdr:cNvPr id="1" name="AutoShape 1"/>
        <xdr:cNvSpPr>
          <a:spLocks/>
        </xdr:cNvSpPr>
      </xdr:nvSpPr>
      <xdr:spPr>
        <a:xfrm rot="16200000">
          <a:off x="114300" y="2743200"/>
          <a:ext cx="1123950"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0</xdr:rowOff>
    </xdr:from>
    <xdr:to>
      <xdr:col>3</xdr:col>
      <xdr:colOff>1400175</xdr:colOff>
      <xdr:row>7</xdr:row>
      <xdr:rowOff>0</xdr:rowOff>
    </xdr:to>
    <xdr:sp>
      <xdr:nvSpPr>
        <xdr:cNvPr id="1" name="Line 1"/>
        <xdr:cNvSpPr>
          <a:spLocks/>
        </xdr:cNvSpPr>
      </xdr:nvSpPr>
      <xdr:spPr>
        <a:xfrm>
          <a:off x="1352550" y="752475"/>
          <a:ext cx="16859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55</xdr:row>
      <xdr:rowOff>76200</xdr:rowOff>
    </xdr:from>
    <xdr:to>
      <xdr:col>0</xdr:col>
      <xdr:colOff>1019175</xdr:colOff>
      <xdr:row>55</xdr:row>
      <xdr:rowOff>133350</xdr:rowOff>
    </xdr:to>
    <xdr:sp>
      <xdr:nvSpPr>
        <xdr:cNvPr id="2" name="AutoShape 3"/>
        <xdr:cNvSpPr>
          <a:spLocks/>
        </xdr:cNvSpPr>
      </xdr:nvSpPr>
      <xdr:spPr>
        <a:xfrm rot="16200000">
          <a:off x="9525" y="8010525"/>
          <a:ext cx="1009650" cy="57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0</xdr:rowOff>
    </xdr:from>
    <xdr:to>
      <xdr:col>2</xdr:col>
      <xdr:colOff>1390650</xdr:colOff>
      <xdr:row>7</xdr:row>
      <xdr:rowOff>0</xdr:rowOff>
    </xdr:to>
    <xdr:sp>
      <xdr:nvSpPr>
        <xdr:cNvPr id="1" name="Line 1"/>
        <xdr:cNvSpPr>
          <a:spLocks/>
        </xdr:cNvSpPr>
      </xdr:nvSpPr>
      <xdr:spPr>
        <a:xfrm>
          <a:off x="85725" y="1428750"/>
          <a:ext cx="1676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38100</xdr:rowOff>
    </xdr:from>
    <xdr:to>
      <xdr:col>8</xdr:col>
      <xdr:colOff>571500</xdr:colOff>
      <xdr:row>37</xdr:row>
      <xdr:rowOff>47625</xdr:rowOff>
    </xdr:to>
    <xdr:graphicFrame>
      <xdr:nvGraphicFramePr>
        <xdr:cNvPr id="1" name="Chart 1"/>
        <xdr:cNvGraphicFramePr/>
      </xdr:nvGraphicFramePr>
      <xdr:xfrm>
        <a:off x="85725" y="1352550"/>
        <a:ext cx="7400925"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696200" y="1314450"/>
        <a:ext cx="10791825" cy="59150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28575</xdr:rowOff>
    </xdr:from>
    <xdr:to>
      <xdr:col>8</xdr:col>
      <xdr:colOff>571500</xdr:colOff>
      <xdr:row>37</xdr:row>
      <xdr:rowOff>38100</xdr:rowOff>
    </xdr:to>
    <xdr:graphicFrame>
      <xdr:nvGraphicFramePr>
        <xdr:cNvPr id="1" name="Chart 1"/>
        <xdr:cNvGraphicFramePr/>
      </xdr:nvGraphicFramePr>
      <xdr:xfrm>
        <a:off x="171450" y="1343025"/>
        <a:ext cx="7410450"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791450" y="1314450"/>
        <a:ext cx="10791825" cy="5915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xdr:row>
      <xdr:rowOff>28575</xdr:rowOff>
    </xdr:from>
    <xdr:to>
      <xdr:col>8</xdr:col>
      <xdr:colOff>571500</xdr:colOff>
      <xdr:row>37</xdr:row>
      <xdr:rowOff>28575</xdr:rowOff>
    </xdr:to>
    <xdr:graphicFrame>
      <xdr:nvGraphicFramePr>
        <xdr:cNvPr id="1" name="Chart 1"/>
        <xdr:cNvGraphicFramePr/>
      </xdr:nvGraphicFramePr>
      <xdr:xfrm>
        <a:off x="142875" y="1323975"/>
        <a:ext cx="7410450" cy="590550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762875" y="1295400"/>
        <a:ext cx="10791825" cy="59150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6</xdr:row>
      <xdr:rowOff>0</xdr:rowOff>
    </xdr:from>
    <xdr:to>
      <xdr:col>8</xdr:col>
      <xdr:colOff>542925</xdr:colOff>
      <xdr:row>37</xdr:row>
      <xdr:rowOff>9525</xdr:rowOff>
    </xdr:to>
    <xdr:graphicFrame>
      <xdr:nvGraphicFramePr>
        <xdr:cNvPr id="1" name="Chart 1"/>
        <xdr:cNvGraphicFramePr/>
      </xdr:nvGraphicFramePr>
      <xdr:xfrm>
        <a:off x="200025" y="1314450"/>
        <a:ext cx="7381875" cy="5915025"/>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820025" y="1314450"/>
        <a:ext cx="10791825" cy="5915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9525</xdr:rowOff>
    </xdr:from>
    <xdr:to>
      <xdr:col>8</xdr:col>
      <xdr:colOff>590550</xdr:colOff>
      <xdr:row>37</xdr:row>
      <xdr:rowOff>28575</xdr:rowOff>
    </xdr:to>
    <xdr:graphicFrame>
      <xdr:nvGraphicFramePr>
        <xdr:cNvPr id="1" name="Chart 1"/>
        <xdr:cNvGraphicFramePr/>
      </xdr:nvGraphicFramePr>
      <xdr:xfrm>
        <a:off x="228600" y="1323975"/>
        <a:ext cx="7324725" cy="5924550"/>
      </xdr:xfrm>
      <a:graphic>
        <a:graphicData uri="http://schemas.openxmlformats.org/drawingml/2006/chart">
          <c:chart xmlns:c="http://schemas.openxmlformats.org/drawingml/2006/chart" r:id="rId1"/>
        </a:graphicData>
      </a:graphic>
    </xdr:graphicFrame>
    <xdr:clientData/>
  </xdr:twoCellAnchor>
  <xdr:twoCellAnchor>
    <xdr:from>
      <xdr:col>8</xdr:col>
      <xdr:colOff>781050</xdr:colOff>
      <xdr:row>6</xdr:row>
      <xdr:rowOff>0</xdr:rowOff>
    </xdr:from>
    <xdr:to>
      <xdr:col>17</xdr:col>
      <xdr:colOff>85725</xdr:colOff>
      <xdr:row>37</xdr:row>
      <xdr:rowOff>9525</xdr:rowOff>
    </xdr:to>
    <xdr:graphicFrame>
      <xdr:nvGraphicFramePr>
        <xdr:cNvPr id="2" name="Chart 2"/>
        <xdr:cNvGraphicFramePr/>
      </xdr:nvGraphicFramePr>
      <xdr:xfrm>
        <a:off x="7743825" y="1314450"/>
        <a:ext cx="10791825" cy="5915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33"/>
  </sheetPr>
  <dimension ref="B1:M112"/>
  <sheetViews>
    <sheetView showGridLines="0" workbookViewId="0" topLeftCell="A1">
      <selection activeCell="L63" sqref="L63"/>
    </sheetView>
  </sheetViews>
  <sheetFormatPr defaultColWidth="8.796875" defaultRowHeight="15"/>
  <cols>
    <col min="1" max="1" width="5" style="21" customWidth="1"/>
    <col min="2" max="2" width="4.19921875" style="21" customWidth="1"/>
    <col min="3" max="3" width="7" style="21" customWidth="1"/>
    <col min="4" max="4" width="10.19921875" style="21" customWidth="1"/>
    <col min="5" max="5" width="10" style="21" customWidth="1"/>
    <col min="6" max="16384" width="9" style="21" customWidth="1"/>
  </cols>
  <sheetData>
    <row r="1" spans="2:4" ht="14.25">
      <c r="B1" s="19" t="s">
        <v>115</v>
      </c>
      <c r="C1" s="19" t="s">
        <v>72</v>
      </c>
      <c r="D1" s="20"/>
    </row>
    <row r="2" ht="14.25">
      <c r="C2" s="21" t="s">
        <v>214</v>
      </c>
    </row>
    <row r="4" spans="2:4" ht="14.25">
      <c r="B4" s="19" t="s">
        <v>116</v>
      </c>
      <c r="C4" s="19" t="s">
        <v>73</v>
      </c>
      <c r="D4" s="20"/>
    </row>
    <row r="5" spans="3:4" ht="14.25">
      <c r="C5" s="20" t="s">
        <v>74</v>
      </c>
      <c r="D5" s="20" t="s">
        <v>75</v>
      </c>
    </row>
    <row r="6" ht="15" thickBot="1">
      <c r="D6" s="21" t="s">
        <v>215</v>
      </c>
    </row>
    <row r="7" spans="4:10" ht="27.75" customHeight="1">
      <c r="D7" s="22"/>
      <c r="E7" s="23"/>
      <c r="F7" s="23"/>
      <c r="G7" s="23"/>
      <c r="H7" s="23"/>
      <c r="I7" s="23"/>
      <c r="J7" s="24"/>
    </row>
    <row r="8" spans="4:10" ht="14.25">
      <c r="D8" s="25"/>
      <c r="E8" s="26" t="s">
        <v>119</v>
      </c>
      <c r="F8" s="27"/>
      <c r="G8" s="27"/>
      <c r="H8" s="27"/>
      <c r="I8" s="27"/>
      <c r="J8" s="28"/>
    </row>
    <row r="9" spans="4:10" ht="14.25">
      <c r="D9" s="25"/>
      <c r="E9" s="29"/>
      <c r="F9" s="26" t="s">
        <v>119</v>
      </c>
      <c r="G9" s="27"/>
      <c r="H9" s="27"/>
      <c r="I9" s="27"/>
      <c r="J9" s="28"/>
    </row>
    <row r="10" spans="4:10" ht="14.25">
      <c r="D10" s="25"/>
      <c r="E10" s="29"/>
      <c r="F10" s="29"/>
      <c r="G10" s="26" t="s">
        <v>119</v>
      </c>
      <c r="H10" s="27"/>
      <c r="I10" s="27"/>
      <c r="J10" s="28"/>
    </row>
    <row r="11" spans="4:10" ht="14.25">
      <c r="D11" s="25"/>
      <c r="E11" s="29"/>
      <c r="F11" s="29"/>
      <c r="G11" s="29"/>
      <c r="H11" s="26" t="s">
        <v>119</v>
      </c>
      <c r="I11" s="27"/>
      <c r="J11" s="28"/>
    </row>
    <row r="12" spans="4:10" ht="14.25">
      <c r="D12" s="25"/>
      <c r="E12" s="29"/>
      <c r="F12" s="29"/>
      <c r="G12" s="29"/>
      <c r="H12" s="29"/>
      <c r="I12" s="26" t="s">
        <v>119</v>
      </c>
      <c r="J12" s="28"/>
    </row>
    <row r="13" spans="4:10" ht="15" thickBot="1">
      <c r="D13" s="30"/>
      <c r="E13" s="31"/>
      <c r="F13" s="31"/>
      <c r="G13" s="31"/>
      <c r="H13" s="31"/>
      <c r="I13" s="31"/>
      <c r="J13" s="32" t="s">
        <v>119</v>
      </c>
    </row>
    <row r="15" spans="3:4" ht="14.25">
      <c r="C15" s="20" t="s">
        <v>76</v>
      </c>
      <c r="D15" s="20" t="s">
        <v>77</v>
      </c>
    </row>
    <row r="16" ht="14.25">
      <c r="D16" s="21" t="s">
        <v>216</v>
      </c>
    </row>
    <row r="17" ht="14.25">
      <c r="D17" s="21" t="s">
        <v>78</v>
      </c>
    </row>
    <row r="18" ht="14.25">
      <c r="D18" s="21" t="s">
        <v>217</v>
      </c>
    </row>
    <row r="19" ht="14.25">
      <c r="D19" s="21" t="s">
        <v>79</v>
      </c>
    </row>
    <row r="20" ht="14.25">
      <c r="D20" s="21" t="s">
        <v>218</v>
      </c>
    </row>
    <row r="21" spans="5:6" ht="14.25">
      <c r="E21" s="33"/>
      <c r="F21" s="21" t="s">
        <v>219</v>
      </c>
    </row>
    <row r="22" spans="5:6" ht="14.25">
      <c r="E22" s="34"/>
      <c r="F22" s="21" t="s">
        <v>220</v>
      </c>
    </row>
    <row r="23" ht="14.25">
      <c r="D23" s="21" t="s">
        <v>221</v>
      </c>
    </row>
    <row r="24" ht="14.25">
      <c r="D24" s="20" t="s">
        <v>137</v>
      </c>
    </row>
    <row r="25" ht="14.25">
      <c r="D25" s="21" t="s">
        <v>124</v>
      </c>
    </row>
    <row r="26" spans="5:6" ht="14.25">
      <c r="E26" s="33"/>
      <c r="F26" s="21" t="s">
        <v>222</v>
      </c>
    </row>
    <row r="27" spans="4:6" ht="14.25">
      <c r="D27" s="21" t="s">
        <v>122</v>
      </c>
      <c r="E27" s="34"/>
      <c r="F27" s="21" t="s">
        <v>223</v>
      </c>
    </row>
    <row r="28" ht="14.25">
      <c r="D28" s="21" t="s">
        <v>123</v>
      </c>
    </row>
    <row r="29" ht="14.25">
      <c r="D29" s="21" t="s">
        <v>224</v>
      </c>
    </row>
    <row r="31" spans="3:4" ht="14.25">
      <c r="C31" s="20" t="s">
        <v>95</v>
      </c>
      <c r="D31" s="20" t="s">
        <v>125</v>
      </c>
    </row>
    <row r="32" ht="14.25">
      <c r="D32" s="21" t="s">
        <v>80</v>
      </c>
    </row>
    <row r="33" ht="14.25">
      <c r="D33" s="21" t="s">
        <v>121</v>
      </c>
    </row>
    <row r="34" ht="14.25">
      <c r="D34" s="21" t="s">
        <v>126</v>
      </c>
    </row>
    <row r="35" ht="14.25">
      <c r="D35" s="21" t="s">
        <v>225</v>
      </c>
    </row>
    <row r="36" ht="14.25">
      <c r="D36" s="21" t="s">
        <v>81</v>
      </c>
    </row>
    <row r="37" spans="4:13" ht="14.25">
      <c r="D37" s="21" t="s">
        <v>82</v>
      </c>
      <c r="L37" s="33"/>
      <c r="M37" s="21" t="s">
        <v>83</v>
      </c>
    </row>
    <row r="38" spans="4:9" ht="14.25">
      <c r="D38" s="21" t="s">
        <v>84</v>
      </c>
      <c r="H38" s="35"/>
      <c r="I38" s="21" t="s">
        <v>226</v>
      </c>
    </row>
    <row r="39" ht="14.25">
      <c r="D39" s="21" t="s">
        <v>85</v>
      </c>
    </row>
    <row r="40" ht="14.25">
      <c r="D40" s="21" t="s">
        <v>227</v>
      </c>
    </row>
    <row r="42" spans="2:5" ht="14.25">
      <c r="B42" s="19" t="s">
        <v>117</v>
      </c>
      <c r="C42" s="19" t="s">
        <v>127</v>
      </c>
      <c r="D42" s="20"/>
      <c r="E42" s="20"/>
    </row>
    <row r="43" spans="3:4" ht="14.25">
      <c r="C43" s="20" t="s">
        <v>74</v>
      </c>
      <c r="D43" s="20" t="s">
        <v>92</v>
      </c>
    </row>
    <row r="44" ht="14.25">
      <c r="D44" s="21" t="s">
        <v>120</v>
      </c>
    </row>
    <row r="45" ht="14.25">
      <c r="D45" s="21" t="s">
        <v>93</v>
      </c>
    </row>
    <row r="47" spans="3:4" ht="14.25">
      <c r="C47" s="20" t="s">
        <v>76</v>
      </c>
      <c r="D47" s="20" t="s">
        <v>94</v>
      </c>
    </row>
    <row r="48" ht="14.25">
      <c r="D48" s="21" t="s">
        <v>228</v>
      </c>
    </row>
    <row r="49" ht="14.25">
      <c r="D49" s="21" t="s">
        <v>229</v>
      </c>
    </row>
    <row r="51" spans="3:4" ht="14.25">
      <c r="C51" s="20" t="s">
        <v>95</v>
      </c>
      <c r="D51" s="20" t="s">
        <v>96</v>
      </c>
    </row>
    <row r="52" ht="14.25">
      <c r="D52" s="21" t="s">
        <v>230</v>
      </c>
    </row>
    <row r="54" spans="3:4" ht="14.25">
      <c r="C54" s="20" t="s">
        <v>97</v>
      </c>
      <c r="D54" s="20" t="s">
        <v>86</v>
      </c>
    </row>
    <row r="55" ht="14.25">
      <c r="D55" s="21" t="s">
        <v>231</v>
      </c>
    </row>
    <row r="56" spans="4:6" ht="14.25">
      <c r="D56" s="21" t="s">
        <v>243</v>
      </c>
      <c r="E56" s="21" t="s">
        <v>69</v>
      </c>
      <c r="F56" s="21" t="s">
        <v>244</v>
      </c>
    </row>
    <row r="57" spans="4:6" ht="14.25">
      <c r="D57" s="21" t="s">
        <v>245</v>
      </c>
      <c r="F57" s="21" t="s">
        <v>98</v>
      </c>
    </row>
    <row r="58" spans="4:6" ht="14.25">
      <c r="D58" s="21" t="s">
        <v>88</v>
      </c>
      <c r="E58" s="21" t="s">
        <v>69</v>
      </c>
      <c r="F58" s="21" t="s">
        <v>118</v>
      </c>
    </row>
    <row r="59" spans="4:6" ht="14.25">
      <c r="D59" s="21" t="s">
        <v>90</v>
      </c>
      <c r="E59" s="21" t="s">
        <v>69</v>
      </c>
      <c r="F59" s="21" t="s">
        <v>102</v>
      </c>
    </row>
    <row r="60" spans="4:6" ht="14.25">
      <c r="D60" s="21" t="s">
        <v>87</v>
      </c>
      <c r="E60" s="21" t="s">
        <v>69</v>
      </c>
      <c r="F60" s="21" t="s">
        <v>99</v>
      </c>
    </row>
    <row r="61" spans="4:6" ht="14.25">
      <c r="D61" s="21" t="s">
        <v>260</v>
      </c>
      <c r="E61" s="21" t="s">
        <v>69</v>
      </c>
      <c r="F61" s="21" t="s">
        <v>261</v>
      </c>
    </row>
    <row r="62" spans="4:6" ht="14.25">
      <c r="D62" s="21" t="s">
        <v>246</v>
      </c>
      <c r="E62" s="21" t="s">
        <v>69</v>
      </c>
      <c r="F62" s="21" t="s">
        <v>247</v>
      </c>
    </row>
    <row r="63" spans="4:6" ht="14.25">
      <c r="D63" s="21" t="s">
        <v>239</v>
      </c>
      <c r="E63" s="21" t="s">
        <v>69</v>
      </c>
      <c r="F63" s="21" t="s">
        <v>240</v>
      </c>
    </row>
    <row r="64" spans="4:6" ht="14.25">
      <c r="D64" s="21" t="s">
        <v>253</v>
      </c>
      <c r="E64" s="21" t="s">
        <v>69</v>
      </c>
      <c r="F64" s="21" t="s">
        <v>254</v>
      </c>
    </row>
    <row r="65" spans="4:6" ht="14.25">
      <c r="D65" s="21" t="s">
        <v>91</v>
      </c>
      <c r="E65" s="21" t="s">
        <v>69</v>
      </c>
      <c r="F65" s="21" t="s">
        <v>100</v>
      </c>
    </row>
    <row r="66" spans="4:6" ht="14.25">
      <c r="D66" s="21" t="s">
        <v>89</v>
      </c>
      <c r="E66" s="21" t="s">
        <v>69</v>
      </c>
      <c r="F66" s="21" t="s">
        <v>101</v>
      </c>
    </row>
    <row r="68" spans="3:4" ht="14.25">
      <c r="C68" s="20" t="s">
        <v>149</v>
      </c>
      <c r="D68" s="20" t="s">
        <v>150</v>
      </c>
    </row>
    <row r="69" ht="14.25">
      <c r="D69" s="21" t="s">
        <v>151</v>
      </c>
    </row>
    <row r="70" ht="14.25">
      <c r="D70" s="21" t="s">
        <v>152</v>
      </c>
    </row>
    <row r="72" spans="2:3" ht="15" thickBot="1">
      <c r="B72" s="19" t="s">
        <v>165</v>
      </c>
      <c r="C72" s="19" t="s">
        <v>166</v>
      </c>
    </row>
    <row r="73" spans="4:12" ht="15" thickBot="1">
      <c r="D73" s="573" t="s">
        <v>108</v>
      </c>
      <c r="E73" s="574"/>
      <c r="F73" s="589" t="s">
        <v>168</v>
      </c>
      <c r="G73" s="592"/>
      <c r="H73" s="589" t="s">
        <v>167</v>
      </c>
      <c r="I73" s="590"/>
      <c r="J73" s="590"/>
      <c r="K73" s="590"/>
      <c r="L73" s="591"/>
    </row>
    <row r="74" spans="4:12" ht="14.25">
      <c r="D74" s="570" t="s">
        <v>169</v>
      </c>
      <c r="E74" s="571"/>
      <c r="F74" s="569" t="s">
        <v>179</v>
      </c>
      <c r="G74" s="564"/>
      <c r="H74" s="598" t="s">
        <v>185</v>
      </c>
      <c r="I74" s="599"/>
      <c r="J74" s="599"/>
      <c r="K74" s="599"/>
      <c r="L74" s="600"/>
    </row>
    <row r="75" spans="4:12" ht="14.25">
      <c r="D75" s="572" t="s">
        <v>170</v>
      </c>
      <c r="E75" s="576"/>
      <c r="F75" s="565" t="s">
        <v>181</v>
      </c>
      <c r="G75" s="566"/>
      <c r="H75" s="562" t="s">
        <v>186</v>
      </c>
      <c r="I75" s="563"/>
      <c r="J75" s="563"/>
      <c r="K75" s="563"/>
      <c r="L75" s="556"/>
    </row>
    <row r="76" spans="4:12" ht="14.25">
      <c r="D76" s="567" t="s">
        <v>255</v>
      </c>
      <c r="E76" s="568"/>
      <c r="F76" s="565" t="s">
        <v>181</v>
      </c>
      <c r="G76" s="566"/>
      <c r="H76" s="562" t="s">
        <v>256</v>
      </c>
      <c r="I76" s="563"/>
      <c r="J76" s="563"/>
      <c r="K76" s="563"/>
      <c r="L76" s="556"/>
    </row>
    <row r="77" spans="4:12" ht="14.25">
      <c r="D77" s="572" t="s">
        <v>110</v>
      </c>
      <c r="E77" s="576"/>
      <c r="F77" s="565" t="s">
        <v>181</v>
      </c>
      <c r="G77" s="566"/>
      <c r="H77" s="562" t="s">
        <v>187</v>
      </c>
      <c r="I77" s="563"/>
      <c r="J77" s="563"/>
      <c r="K77" s="563"/>
      <c r="L77" s="556"/>
    </row>
    <row r="78" spans="4:12" ht="14.25">
      <c r="D78" s="572" t="s">
        <v>171</v>
      </c>
      <c r="E78" s="576"/>
      <c r="F78" s="565" t="s">
        <v>181</v>
      </c>
      <c r="G78" s="566"/>
      <c r="H78" s="562" t="s">
        <v>188</v>
      </c>
      <c r="I78" s="563"/>
      <c r="J78" s="563"/>
      <c r="K78" s="563"/>
      <c r="L78" s="556"/>
    </row>
    <row r="79" spans="4:12" ht="14.25">
      <c r="D79" s="572" t="s">
        <v>172</v>
      </c>
      <c r="E79" s="576"/>
      <c r="F79" s="565" t="s">
        <v>181</v>
      </c>
      <c r="G79" s="566"/>
      <c r="H79" s="562" t="s">
        <v>189</v>
      </c>
      <c r="I79" s="563"/>
      <c r="J79" s="563"/>
      <c r="K79" s="563"/>
      <c r="L79" s="556"/>
    </row>
    <row r="80" spans="4:12" ht="14.25">
      <c r="D80" s="572" t="s">
        <v>173</v>
      </c>
      <c r="E80" s="576"/>
      <c r="F80" s="565" t="s">
        <v>181</v>
      </c>
      <c r="G80" s="566"/>
      <c r="H80" s="562" t="s">
        <v>190</v>
      </c>
      <c r="I80" s="563"/>
      <c r="J80" s="563"/>
      <c r="K80" s="563"/>
      <c r="L80" s="556"/>
    </row>
    <row r="81" spans="4:12" ht="14.25">
      <c r="D81" s="572" t="s">
        <v>174</v>
      </c>
      <c r="E81" s="576"/>
      <c r="F81" s="565" t="s">
        <v>181</v>
      </c>
      <c r="G81" s="566"/>
      <c r="H81" s="562" t="s">
        <v>191</v>
      </c>
      <c r="I81" s="563"/>
      <c r="J81" s="563"/>
      <c r="K81" s="563"/>
      <c r="L81" s="556"/>
    </row>
    <row r="82" spans="4:12" ht="14.25">
      <c r="D82" s="572" t="s">
        <v>175</v>
      </c>
      <c r="E82" s="576"/>
      <c r="F82" s="565" t="s">
        <v>181</v>
      </c>
      <c r="G82" s="566"/>
      <c r="H82" s="562" t="s">
        <v>192</v>
      </c>
      <c r="I82" s="563"/>
      <c r="J82" s="563"/>
      <c r="K82" s="563"/>
      <c r="L82" s="556"/>
    </row>
    <row r="83" spans="4:12" ht="14.25">
      <c r="D83" s="572" t="s">
        <v>176</v>
      </c>
      <c r="E83" s="576"/>
      <c r="F83" s="565" t="s">
        <v>181</v>
      </c>
      <c r="G83" s="566"/>
      <c r="H83" s="562" t="s">
        <v>193</v>
      </c>
      <c r="I83" s="563"/>
      <c r="J83" s="563"/>
      <c r="K83" s="563"/>
      <c r="L83" s="556"/>
    </row>
    <row r="84" spans="4:12" ht="14.25">
      <c r="D84" s="572" t="s">
        <v>177</v>
      </c>
      <c r="E84" s="576"/>
      <c r="F84" s="565" t="s">
        <v>181</v>
      </c>
      <c r="G84" s="566"/>
      <c r="H84" s="562" t="s">
        <v>194</v>
      </c>
      <c r="I84" s="563"/>
      <c r="J84" s="563"/>
      <c r="K84" s="563"/>
      <c r="L84" s="556"/>
    </row>
    <row r="85" spans="4:12" ht="14.25">
      <c r="D85" s="582" t="s">
        <v>111</v>
      </c>
      <c r="E85" s="583"/>
      <c r="F85" s="584" t="s">
        <v>180</v>
      </c>
      <c r="G85" s="585"/>
      <c r="H85" s="593" t="s">
        <v>196</v>
      </c>
      <c r="I85" s="594"/>
      <c r="J85" s="594"/>
      <c r="K85" s="594"/>
      <c r="L85" s="595"/>
    </row>
    <row r="86" spans="4:12" ht="15" thickBot="1">
      <c r="D86" s="580" t="s">
        <v>178</v>
      </c>
      <c r="E86" s="581"/>
      <c r="F86" s="596" t="s">
        <v>179</v>
      </c>
      <c r="G86" s="597"/>
      <c r="H86" s="586" t="s">
        <v>195</v>
      </c>
      <c r="I86" s="587"/>
      <c r="J86" s="587"/>
      <c r="K86" s="587"/>
      <c r="L86" s="588"/>
    </row>
    <row r="88" spans="2:3" ht="14.25">
      <c r="B88" s="19" t="s">
        <v>163</v>
      </c>
      <c r="C88" s="19" t="s">
        <v>107</v>
      </c>
    </row>
    <row r="89" ht="14.25">
      <c r="C89" s="21" t="s">
        <v>232</v>
      </c>
    </row>
    <row r="90" spans="4:7" ht="14.25">
      <c r="D90" s="26" t="s">
        <v>108</v>
      </c>
      <c r="E90" s="577" t="s">
        <v>109</v>
      </c>
      <c r="F90" s="578"/>
      <c r="G90" s="579"/>
    </row>
    <row r="91" spans="4:7" ht="14.25">
      <c r="D91" s="36" t="s">
        <v>111</v>
      </c>
      <c r="E91" s="576" t="s">
        <v>112</v>
      </c>
      <c r="F91" s="576"/>
      <c r="G91" s="576"/>
    </row>
    <row r="92" spans="4:7" ht="14.25">
      <c r="D92" s="37"/>
      <c r="E92" s="37"/>
      <c r="F92" s="37"/>
      <c r="G92" s="37"/>
    </row>
    <row r="93" spans="2:3" ht="14.25">
      <c r="B93" s="19" t="s">
        <v>164</v>
      </c>
      <c r="C93" s="19" t="s">
        <v>103</v>
      </c>
    </row>
    <row r="94" ht="14.25">
      <c r="C94" s="21" t="s">
        <v>233</v>
      </c>
    </row>
    <row r="95" ht="14.25">
      <c r="D95" s="21" t="s">
        <v>104</v>
      </c>
    </row>
    <row r="96" spans="4:6" ht="14.25">
      <c r="D96" s="21" t="s">
        <v>105</v>
      </c>
      <c r="F96" s="21" t="s">
        <v>234</v>
      </c>
    </row>
    <row r="97" spans="4:7" ht="14.25">
      <c r="D97" s="21" t="s">
        <v>106</v>
      </c>
      <c r="G97" s="21" t="s">
        <v>235</v>
      </c>
    </row>
    <row r="98" ht="14.25">
      <c r="D98" s="21" t="s">
        <v>113</v>
      </c>
    </row>
    <row r="99" ht="14.25">
      <c r="D99" s="21" t="s">
        <v>182</v>
      </c>
    </row>
    <row r="100" spans="4:12" ht="14.25">
      <c r="D100" s="21" t="s">
        <v>183</v>
      </c>
      <c r="L100" s="21" t="s">
        <v>242</v>
      </c>
    </row>
    <row r="101" ht="14.25">
      <c r="D101" s="21" t="s">
        <v>236</v>
      </c>
    </row>
    <row r="102" spans="5:8" ht="14.25">
      <c r="E102" s="26" t="s">
        <v>108</v>
      </c>
      <c r="F102" s="577" t="s">
        <v>114</v>
      </c>
      <c r="G102" s="578"/>
      <c r="H102" s="579"/>
    </row>
    <row r="103" spans="5:11" ht="14.25">
      <c r="E103" s="113" t="s">
        <v>138</v>
      </c>
      <c r="F103" s="576" t="s">
        <v>65</v>
      </c>
      <c r="G103" s="576"/>
      <c r="H103" s="576"/>
      <c r="K103" s="21" t="s">
        <v>242</v>
      </c>
    </row>
    <row r="104" spans="5:8" ht="14.25">
      <c r="E104" s="576" t="s">
        <v>111</v>
      </c>
      <c r="F104" s="576" t="s">
        <v>8</v>
      </c>
      <c r="G104" s="576"/>
      <c r="H104" s="576"/>
    </row>
    <row r="105" spans="5:8" ht="14.25">
      <c r="E105" s="576"/>
      <c r="F105" s="576" t="s">
        <v>50</v>
      </c>
      <c r="G105" s="576"/>
      <c r="H105" s="576"/>
    </row>
    <row r="106" spans="5:8" ht="14.25">
      <c r="E106" s="36" t="s">
        <v>161</v>
      </c>
      <c r="F106" s="63" t="s">
        <v>162</v>
      </c>
      <c r="G106" s="64"/>
      <c r="H106" s="65"/>
    </row>
    <row r="107" spans="4:7" ht="14.25">
      <c r="D107" s="37" t="s">
        <v>237</v>
      </c>
      <c r="E107" s="37"/>
      <c r="F107" s="37"/>
      <c r="G107" s="37"/>
    </row>
    <row r="108" spans="4:7" ht="14.25">
      <c r="D108" s="37" t="s">
        <v>184</v>
      </c>
      <c r="E108" s="37"/>
      <c r="F108" s="37"/>
      <c r="G108" s="37"/>
    </row>
    <row r="109" spans="4:7" ht="14.25">
      <c r="D109" s="37" t="s">
        <v>238</v>
      </c>
      <c r="E109" s="37"/>
      <c r="F109" s="37"/>
      <c r="G109" s="37"/>
    </row>
    <row r="110" spans="4:7" ht="14.25">
      <c r="D110" s="37"/>
      <c r="E110" s="37"/>
      <c r="F110" s="37"/>
      <c r="G110" s="37"/>
    </row>
    <row r="111" spans="4:7" ht="14.25">
      <c r="D111" s="37"/>
      <c r="E111" s="37"/>
      <c r="F111" s="37"/>
      <c r="G111" s="37"/>
    </row>
    <row r="112" spans="4:7" ht="14.25">
      <c r="D112" s="37"/>
      <c r="E112" s="37"/>
      <c r="F112" s="37"/>
      <c r="G112" s="37"/>
    </row>
  </sheetData>
  <sheetProtection password="B197" sheet="1" objects="1" scenarios="1"/>
  <mergeCells count="49">
    <mergeCell ref="H86:L86"/>
    <mergeCell ref="H73:L73"/>
    <mergeCell ref="F73:G73"/>
    <mergeCell ref="H84:L84"/>
    <mergeCell ref="H85:L85"/>
    <mergeCell ref="F86:G86"/>
    <mergeCell ref="H74:L74"/>
    <mergeCell ref="H75:L75"/>
    <mergeCell ref="H77:L77"/>
    <mergeCell ref="H78:L78"/>
    <mergeCell ref="F84:G84"/>
    <mergeCell ref="F85:G85"/>
    <mergeCell ref="F76:G76"/>
    <mergeCell ref="F79:G79"/>
    <mergeCell ref="F80:G80"/>
    <mergeCell ref="F81:G81"/>
    <mergeCell ref="F82:G82"/>
    <mergeCell ref="F78:G78"/>
    <mergeCell ref="H79:L79"/>
    <mergeCell ref="H80:L80"/>
    <mergeCell ref="H76:L76"/>
    <mergeCell ref="H81:L81"/>
    <mergeCell ref="H82:L82"/>
    <mergeCell ref="E91:G91"/>
    <mergeCell ref="H83:L83"/>
    <mergeCell ref="D82:E82"/>
    <mergeCell ref="D83:E83"/>
    <mergeCell ref="D86:E86"/>
    <mergeCell ref="E90:G90"/>
    <mergeCell ref="F83:G83"/>
    <mergeCell ref="D84:E84"/>
    <mergeCell ref="D85:E85"/>
    <mergeCell ref="F74:G74"/>
    <mergeCell ref="F75:G75"/>
    <mergeCell ref="F77:G77"/>
    <mergeCell ref="D76:E76"/>
    <mergeCell ref="D77:E77"/>
    <mergeCell ref="D73:E73"/>
    <mergeCell ref="D74:E74"/>
    <mergeCell ref="D75:E75"/>
    <mergeCell ref="D78:E78"/>
    <mergeCell ref="D79:E79"/>
    <mergeCell ref="D80:E80"/>
    <mergeCell ref="D81:E81"/>
    <mergeCell ref="E104:E105"/>
    <mergeCell ref="F105:H105"/>
    <mergeCell ref="F102:H102"/>
    <mergeCell ref="F103:H103"/>
    <mergeCell ref="F104:H104"/>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3"/>
  </sheetPr>
  <dimension ref="B2:O5"/>
  <sheetViews>
    <sheetView showGridLines="0" zoomScale="75" zoomScaleNormal="75" workbookViewId="0" topLeftCell="A1">
      <selection activeCell="J48" sqref="J48"/>
    </sheetView>
  </sheetViews>
  <sheetFormatPr defaultColWidth="8.796875" defaultRowHeight="15"/>
  <cols>
    <col min="1" max="1" width="2.3984375" style="0" customWidth="1"/>
    <col min="2" max="2" width="11" style="0" customWidth="1"/>
    <col min="8" max="14" width="15.69921875" style="0" customWidth="1"/>
  </cols>
  <sheetData>
    <row r="1" ht="15" thickBot="1"/>
    <row r="2" spans="2:15" ht="21" customHeight="1">
      <c r="B2" s="728" t="str">
        <f>'素データ'!Z11</f>
        <v>パイレーツ</v>
      </c>
      <c r="C2" s="728"/>
      <c r="D2" s="728"/>
      <c r="E2" s="728"/>
      <c r="G2" s="110" t="s">
        <v>156</v>
      </c>
      <c r="H2" s="101">
        <f>SUM('スコア付き集計表'!F32:F37)</f>
        <v>4</v>
      </c>
      <c r="I2" s="102">
        <f>SUM('スコア付き集計表'!J32:J37)</f>
        <v>8</v>
      </c>
      <c r="J2" s="102">
        <f>SUM('スコア付き集計表'!N32:N37)</f>
        <v>10</v>
      </c>
      <c r="K2" s="102">
        <f>SUM('スコア付き集計表'!R32:R37)</f>
        <v>13</v>
      </c>
      <c r="L2" s="102">
        <f>SUM('スコア付き集計表'!Z32:Z37)</f>
        <v>40</v>
      </c>
      <c r="M2" s="102">
        <f>SUM('スコア付き集計表'!AD32:AD37)</f>
        <v>45</v>
      </c>
      <c r="N2" s="364">
        <f>SUM('スコア付き集計表'!AH32:AH37)</f>
        <v>0</v>
      </c>
      <c r="O2" s="209">
        <f>SUM(H2:N2)</f>
        <v>120</v>
      </c>
    </row>
    <row r="3" spans="2:15" ht="21.75" customHeight="1" thickBot="1">
      <c r="B3" s="728"/>
      <c r="C3" s="728"/>
      <c r="D3" s="728"/>
      <c r="E3" s="728"/>
      <c r="G3" s="111" t="s">
        <v>157</v>
      </c>
      <c r="H3" s="103">
        <f>SUM('スコア付き集計表'!H32:H37)</f>
        <v>23</v>
      </c>
      <c r="I3" s="104">
        <f>SUM('スコア付き集計表'!L32:L37)</f>
        <v>29</v>
      </c>
      <c r="J3" s="104">
        <f>SUM('スコア付き集計表'!P32:P37)</f>
        <v>13</v>
      </c>
      <c r="K3" s="104">
        <f>SUM('スコア付き集計表'!T32:T37)</f>
        <v>17</v>
      </c>
      <c r="L3" s="104">
        <f>SUM('スコア付き集計表'!AB32:AB37)</f>
        <v>8</v>
      </c>
      <c r="M3" s="104">
        <f>SUM('スコア付き集計表'!AF32:AF37)</f>
        <v>10</v>
      </c>
      <c r="N3" s="365">
        <f>SUM('スコア付き集計表'!AJ32:AJ37)</f>
        <v>0</v>
      </c>
      <c r="O3" s="210">
        <f>SUM(H3:N3)</f>
        <v>100</v>
      </c>
    </row>
    <row r="4" spans="2:15" ht="14.25" customHeight="1">
      <c r="B4" s="728"/>
      <c r="C4" s="728"/>
      <c r="D4" s="728"/>
      <c r="E4" s="728"/>
      <c r="G4" s="125" t="s">
        <v>155</v>
      </c>
      <c r="H4" s="367" t="str">
        <f>VLOOKUP(H5,'素データ'!$Y$7:$Z$14,2,FALSE)</f>
        <v>ファイターズＡ</v>
      </c>
      <c r="I4" s="368" t="str">
        <f>VLOOKUP(I5,'素データ'!$Y$7:$Z$14,2,FALSE)</f>
        <v>サンデーズＪｒＡ</v>
      </c>
      <c r="J4" s="369" t="str">
        <f>VLOOKUP(J5,'素データ'!$Y$7:$Z$14,2,FALSE)</f>
        <v>ファイターズＢ</v>
      </c>
      <c r="K4" s="370" t="str">
        <f>VLOOKUP(K5,'素データ'!$Y$7:$Z$14,2,FALSE)</f>
        <v>クッパーズＪｒ</v>
      </c>
      <c r="L4" s="371" t="str">
        <f>VLOOKUP(L5,'素データ'!$Y$7:$Z$14,2,FALSE)</f>
        <v>ベアーズ</v>
      </c>
      <c r="M4" s="372" t="str">
        <f>VLOOKUP(M5,'素データ'!$Y$7:$Z$14,2,FALSE)</f>
        <v>サンデーズＪｒＢ</v>
      </c>
      <c r="N4" s="360" t="str">
        <f>VLOOKUP(N5,'素データ'!$Y$7:$Z$14,2,FALSE)</f>
        <v>Dummy</v>
      </c>
      <c r="O4" s="363" t="s">
        <v>159</v>
      </c>
    </row>
    <row r="5" spans="7:15" ht="16.5" thickBot="1">
      <c r="G5" s="111" t="s">
        <v>158</v>
      </c>
      <c r="H5" s="276" t="str">
        <f>'素データ'!Y7</f>
        <v>A</v>
      </c>
      <c r="I5" s="277" t="str">
        <f>'素データ'!Y8</f>
        <v>B</v>
      </c>
      <c r="J5" s="271" t="str">
        <f>'素データ'!Y9</f>
        <v>C</v>
      </c>
      <c r="K5" s="272" t="str">
        <f>'素データ'!Y10</f>
        <v>D</v>
      </c>
      <c r="L5" s="274" t="str">
        <f>'素データ'!Y12</f>
        <v>F</v>
      </c>
      <c r="M5" s="275" t="str">
        <f>'素データ'!Y13</f>
        <v>G</v>
      </c>
      <c r="N5" s="366" t="str">
        <f>'素データ'!Y14</f>
        <v>H</v>
      </c>
      <c r="O5" s="108" t="str">
        <f>IF(AND(O2='スコア付き集計表'!AP32,O3='スコア付き集計表'!AQ32),"OK","NG")</f>
        <v>OK</v>
      </c>
    </row>
  </sheetData>
  <sheetProtection/>
  <mergeCells count="1">
    <mergeCell ref="B2:E4"/>
  </mergeCell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7"/>
  </sheetPr>
  <dimension ref="B2:O5"/>
  <sheetViews>
    <sheetView showGridLines="0" zoomScale="75" zoomScaleNormal="75" workbookViewId="0" topLeftCell="A1">
      <selection activeCell="I55" sqref="I55"/>
    </sheetView>
  </sheetViews>
  <sheetFormatPr defaultColWidth="8.796875" defaultRowHeight="15"/>
  <cols>
    <col min="1" max="1" width="2.3984375" style="0" customWidth="1"/>
    <col min="2" max="2" width="11" style="0" customWidth="1"/>
    <col min="7" max="7" width="9.8984375" style="0" customWidth="1"/>
    <col min="8" max="14" width="15.69921875" style="0" customWidth="1"/>
  </cols>
  <sheetData>
    <row r="1" ht="15" thickBot="1"/>
    <row r="2" spans="2:15" ht="21" customHeight="1">
      <c r="B2" s="729" t="str">
        <f>'素データ'!Z12</f>
        <v>ベアーズ</v>
      </c>
      <c r="C2" s="729"/>
      <c r="D2" s="729"/>
      <c r="E2" s="729"/>
      <c r="G2" s="352" t="s">
        <v>156</v>
      </c>
      <c r="H2" s="101">
        <f>SUM('スコア付き集計表'!F38:F43)</f>
        <v>5</v>
      </c>
      <c r="I2" s="102">
        <f>SUM('スコア付き集計表'!J38:J43)</f>
        <v>3</v>
      </c>
      <c r="J2" s="102">
        <f>SUM('スコア付き集計表'!N38:N43)</f>
        <v>7</v>
      </c>
      <c r="K2" s="102">
        <f>SUM('スコア付き集計表'!R38:R43)</f>
        <v>5</v>
      </c>
      <c r="L2" s="102">
        <f>SUM('スコア付き集計表'!V38:V43)</f>
        <v>8</v>
      </c>
      <c r="M2" s="102">
        <f>SUM('スコア付き集計表'!AD38:AD43)</f>
        <v>20</v>
      </c>
      <c r="N2" s="348">
        <f>SUM('スコア付き集計表'!AH38:AH43)</f>
        <v>0</v>
      </c>
      <c r="O2" s="209">
        <f>SUM(H2:N2)</f>
        <v>48</v>
      </c>
    </row>
    <row r="3" spans="2:15" ht="21.75" customHeight="1" thickBot="1">
      <c r="B3" s="729"/>
      <c r="C3" s="729"/>
      <c r="D3" s="729"/>
      <c r="E3" s="729"/>
      <c r="G3" s="353" t="s">
        <v>157</v>
      </c>
      <c r="H3" s="103">
        <f>SUM('スコア付き集計表'!H38:H43)</f>
        <v>52</v>
      </c>
      <c r="I3" s="104">
        <f>SUM('スコア付き集計表'!L38:L43)</f>
        <v>54</v>
      </c>
      <c r="J3" s="104">
        <f>SUM('スコア付き集計表'!P38:P43)</f>
        <v>37</v>
      </c>
      <c r="K3" s="104">
        <f>SUM('スコア付き集計表'!T38:T43)</f>
        <v>40</v>
      </c>
      <c r="L3" s="104">
        <f>SUM('スコア付き集計表'!X38:X43)</f>
        <v>40</v>
      </c>
      <c r="M3" s="104">
        <f>SUM('スコア付き集計表'!AF38:AF43)</f>
        <v>16</v>
      </c>
      <c r="N3" s="349">
        <f>SUM('スコア付き集計表'!AJ38:AJ43)</f>
        <v>0</v>
      </c>
      <c r="O3" s="210">
        <f>SUM(H3:N3)</f>
        <v>239</v>
      </c>
    </row>
    <row r="4" spans="2:15" ht="14.25" customHeight="1">
      <c r="B4" s="729"/>
      <c r="C4" s="729"/>
      <c r="D4" s="729"/>
      <c r="E4" s="729"/>
      <c r="G4" s="125" t="s">
        <v>155</v>
      </c>
      <c r="H4" s="354" t="str">
        <f>VLOOKUP(H5,'素データ'!$Y$7:$Z$14,2,FALSE)</f>
        <v>ファイターズＡ</v>
      </c>
      <c r="I4" s="342" t="str">
        <f>VLOOKUP(I5,'素データ'!$Y$7:$Z$14,2,FALSE)</f>
        <v>サンデーズＪｒＡ</v>
      </c>
      <c r="J4" s="362" t="str">
        <f>VLOOKUP(J5,'素データ'!$Y$7:$Z$14,2,FALSE)</f>
        <v>ファイターズＢ</v>
      </c>
      <c r="K4" s="356" t="str">
        <f>VLOOKUP(K5,'素データ'!$Y$7:$Z$14,2,FALSE)</f>
        <v>クッパーズＪｒ</v>
      </c>
      <c r="L4" s="357" t="str">
        <f>VLOOKUP(L5,'素データ'!$Y$7:$Z$14,2,FALSE)</f>
        <v>パイレーツ</v>
      </c>
      <c r="M4" s="359" t="str">
        <f>VLOOKUP(M5,'素データ'!$Y$7:$Z$14,2,FALSE)</f>
        <v>サンデーズＪｒＢ</v>
      </c>
      <c r="N4" s="360" t="str">
        <f>VLOOKUP(N5,'素データ'!$Y$7:$Z$14,2,FALSE)</f>
        <v>Dummy</v>
      </c>
      <c r="O4" s="109" t="s">
        <v>159</v>
      </c>
    </row>
    <row r="5" spans="7:15" ht="15" thickBot="1">
      <c r="G5" s="353" t="s">
        <v>158</v>
      </c>
      <c r="H5" s="208" t="str">
        <f>'素データ'!Y7</f>
        <v>A</v>
      </c>
      <c r="I5" s="112" t="str">
        <f>'素データ'!Y8</f>
        <v>B</v>
      </c>
      <c r="J5" s="105" t="str">
        <f>'素データ'!Y9</f>
        <v>C</v>
      </c>
      <c r="K5" s="106" t="str">
        <f>'素データ'!Y10</f>
        <v>D</v>
      </c>
      <c r="L5" s="107" t="str">
        <f>'素データ'!Y11</f>
        <v>E</v>
      </c>
      <c r="M5" s="207" t="str">
        <f>'素データ'!Y13</f>
        <v>G</v>
      </c>
      <c r="N5" s="361" t="str">
        <f>'素データ'!Y14</f>
        <v>H</v>
      </c>
      <c r="O5" s="108" t="str">
        <f>IF(AND(O2='スコア付き集計表'!AP38,O3='スコア付き集計表'!AQ38),"OK","NG")</f>
        <v>OK</v>
      </c>
    </row>
  </sheetData>
  <sheetProtection/>
  <mergeCells count="1">
    <mergeCell ref="B2:E4"/>
  </mergeCells>
  <printOptions/>
  <pageMargins left="0.75" right="0.75" top="1" bottom="1"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sheetPr>
    <tabColor indexed="46"/>
  </sheetPr>
  <dimension ref="B2:O5"/>
  <sheetViews>
    <sheetView showGridLines="0" zoomScale="75" zoomScaleNormal="75" workbookViewId="0" topLeftCell="A1">
      <selection activeCell="I58" sqref="I58"/>
    </sheetView>
  </sheetViews>
  <sheetFormatPr defaultColWidth="8.796875" defaultRowHeight="15"/>
  <cols>
    <col min="1" max="1" width="1.69921875" style="0" customWidth="1"/>
    <col min="2" max="2" width="11" style="0" customWidth="1"/>
    <col min="7" max="7" width="9.8984375" style="0" customWidth="1"/>
    <col min="8" max="14" width="15.69921875" style="0" customWidth="1"/>
  </cols>
  <sheetData>
    <row r="1" ht="15" thickBot="1"/>
    <row r="2" spans="2:15" ht="21" customHeight="1">
      <c r="B2" s="730" t="str">
        <f>'素データ'!Z13</f>
        <v>サンデーズＪｒＢ</v>
      </c>
      <c r="C2" s="730"/>
      <c r="D2" s="730"/>
      <c r="E2" s="730"/>
      <c r="G2" s="352" t="s">
        <v>156</v>
      </c>
      <c r="H2" s="101">
        <f>SUM('スコア付き集計表'!F44:F49)</f>
        <v>18</v>
      </c>
      <c r="I2" s="102">
        <f>SUM('スコア付き集計表'!J44:J49)</f>
        <v>1</v>
      </c>
      <c r="J2" s="102">
        <f>SUM('スコア付き集計表'!N44:N49)</f>
        <v>7</v>
      </c>
      <c r="K2" s="102">
        <f>SUM('スコア付き集計表'!R44:R49)</f>
        <v>12</v>
      </c>
      <c r="L2" s="102">
        <f>SUM('スコア付き集計表'!V44:V49)</f>
        <v>10</v>
      </c>
      <c r="M2" s="102">
        <f>SUM('スコア付き集計表'!Z44:Z49)</f>
        <v>16</v>
      </c>
      <c r="N2" s="348">
        <f>SUM('スコア付き集計表'!AH44:AH49)</f>
        <v>0</v>
      </c>
      <c r="O2" s="209">
        <f>SUM(H2:N2)</f>
        <v>64</v>
      </c>
    </row>
    <row r="3" spans="2:15" ht="21.75" customHeight="1" thickBot="1">
      <c r="B3" s="730"/>
      <c r="C3" s="730"/>
      <c r="D3" s="730"/>
      <c r="E3" s="730"/>
      <c r="G3" s="353" t="s">
        <v>157</v>
      </c>
      <c r="H3" s="103">
        <f>SUM('スコア付き集計表'!H44:H49)</f>
        <v>62</v>
      </c>
      <c r="I3" s="104">
        <f>SUM('スコア付き集計表'!L44:L49)</f>
        <v>72</v>
      </c>
      <c r="J3" s="104">
        <f>SUM('スコア付き集計表'!P44:P49)</f>
        <v>56</v>
      </c>
      <c r="K3" s="104">
        <f>SUM('スコア付き集計表'!T44:T49)</f>
        <v>46</v>
      </c>
      <c r="L3" s="104">
        <f>SUM('スコア付き集計表'!X44:X49)</f>
        <v>45</v>
      </c>
      <c r="M3" s="104">
        <f>SUM('スコア付き集計表'!AB44:AB49)</f>
        <v>20</v>
      </c>
      <c r="N3" s="349">
        <f>SUM('スコア付き集計表'!AJ44:AJ49)</f>
        <v>0</v>
      </c>
      <c r="O3" s="210">
        <f>SUM(H3:N3)</f>
        <v>301</v>
      </c>
    </row>
    <row r="4" spans="2:15" ht="14.25" customHeight="1">
      <c r="B4" s="730"/>
      <c r="C4" s="730"/>
      <c r="D4" s="730"/>
      <c r="E4" s="730"/>
      <c r="G4" s="125" t="s">
        <v>155</v>
      </c>
      <c r="H4" s="354" t="str">
        <f>VLOOKUP(H5,'素データ'!$Y$7:$Z$14,2,FALSE)</f>
        <v>ファイターズＡ</v>
      </c>
      <c r="I4" s="342" t="str">
        <f>VLOOKUP(I5,'素データ'!$Y$7:$Z$14,2,FALSE)</f>
        <v>サンデーズＪｒＡ</v>
      </c>
      <c r="J4" s="362" t="str">
        <f>VLOOKUP(J5,'素データ'!$Y$7:$Z$14,2,FALSE)</f>
        <v>ファイターズＢ</v>
      </c>
      <c r="K4" s="356" t="str">
        <f>VLOOKUP(K5,'素データ'!$Y$7:$Z$14,2,FALSE)</f>
        <v>クッパーズＪｒ</v>
      </c>
      <c r="L4" s="357" t="str">
        <f>VLOOKUP(L5,'素データ'!$Y$7:$Z$14,2,FALSE)</f>
        <v>パイレーツ</v>
      </c>
      <c r="M4" s="358" t="str">
        <f>VLOOKUP(M5,'素データ'!$Y$7:$Z$14,2,FALSE)</f>
        <v>ベアーズ</v>
      </c>
      <c r="N4" s="360" t="str">
        <f>VLOOKUP(N5,'素データ'!$Y$7:$Z$14,2,FALSE)</f>
        <v>Dummy</v>
      </c>
      <c r="O4" s="109" t="s">
        <v>159</v>
      </c>
    </row>
    <row r="5" spans="7:15" ht="16.5" thickBot="1">
      <c r="G5" s="353" t="s">
        <v>158</v>
      </c>
      <c r="H5" s="276" t="str">
        <f>'素データ'!Y7</f>
        <v>A</v>
      </c>
      <c r="I5" s="277" t="str">
        <f>'素データ'!Y8</f>
        <v>B</v>
      </c>
      <c r="J5" s="271" t="str">
        <f>'素データ'!Y9</f>
        <v>C</v>
      </c>
      <c r="K5" s="272" t="str">
        <f>'素データ'!Y10</f>
        <v>D</v>
      </c>
      <c r="L5" s="273" t="str">
        <f>'素データ'!Y11</f>
        <v>E</v>
      </c>
      <c r="M5" s="274" t="str">
        <f>'素データ'!Y12</f>
        <v>F</v>
      </c>
      <c r="N5" s="351" t="str">
        <f>'素データ'!Y14</f>
        <v>H</v>
      </c>
      <c r="O5" s="108" t="str">
        <f>IF(AND(O2='スコア付き集計表'!AP44,O3='スコア付き集計表'!AQ44),"OK","NG")</f>
        <v>OK</v>
      </c>
    </row>
  </sheetData>
  <sheetProtection/>
  <mergeCells count="1">
    <mergeCell ref="B2:E4"/>
  </mergeCells>
  <printOptions/>
  <pageMargins left="0.75" right="0.75" top="1" bottom="1"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22"/>
  </sheetPr>
  <dimension ref="A1:P40"/>
  <sheetViews>
    <sheetView showGridLines="0" zoomScale="85" zoomScaleNormal="85" workbookViewId="0" topLeftCell="A1">
      <selection activeCell="D51" sqref="D51"/>
    </sheetView>
  </sheetViews>
  <sheetFormatPr defaultColWidth="8.796875" defaultRowHeight="15"/>
  <cols>
    <col min="1" max="1" width="1.8984375" style="0" customWidth="1"/>
    <col min="2" max="2" width="11" style="0" customWidth="1"/>
    <col min="7" max="7" width="9.8984375" style="0" customWidth="1"/>
    <col min="8" max="14" width="15.69921875" style="0" customWidth="1"/>
  </cols>
  <sheetData>
    <row r="1" spans="1:16" ht="15" thickBot="1">
      <c r="A1" s="373"/>
      <c r="B1" s="373"/>
      <c r="C1" s="373"/>
      <c r="D1" s="373"/>
      <c r="E1" s="373"/>
      <c r="F1" s="373"/>
      <c r="G1" s="373"/>
      <c r="H1" s="373"/>
      <c r="I1" s="373"/>
      <c r="J1" s="373"/>
      <c r="K1" s="373"/>
      <c r="L1" s="373"/>
      <c r="M1" s="373"/>
      <c r="N1" s="373"/>
      <c r="O1" s="373"/>
      <c r="P1" s="373"/>
    </row>
    <row r="2" spans="1:16" ht="21" customHeight="1">
      <c r="A2" s="373"/>
      <c r="B2" s="731" t="str">
        <f>'素データ'!Z14</f>
        <v>Dummy</v>
      </c>
      <c r="C2" s="732"/>
      <c r="D2" s="732"/>
      <c r="E2" s="733"/>
      <c r="F2" s="373"/>
      <c r="G2" s="374" t="s">
        <v>156</v>
      </c>
      <c r="H2" s="375">
        <f>SUM('スコア付き集計表'!F50:F55)</f>
        <v>0</v>
      </c>
      <c r="I2" s="348">
        <f>SUM('スコア付き集計表'!J50:J55)</f>
        <v>0</v>
      </c>
      <c r="J2" s="348">
        <f>SUM('スコア付き集計表'!N50:N55)</f>
        <v>0</v>
      </c>
      <c r="K2" s="348">
        <f>SUM('スコア付き集計表'!R50:R55)</f>
        <v>0</v>
      </c>
      <c r="L2" s="348">
        <f>SUM('スコア付き集計表'!V50:V55)</f>
        <v>0</v>
      </c>
      <c r="M2" s="348">
        <f>SUM('スコア付き集計表'!Z50:Z55)</f>
        <v>0</v>
      </c>
      <c r="N2" s="348">
        <f>SUM('スコア付き集計表'!AD50:AD55)</f>
        <v>0</v>
      </c>
      <c r="O2" s="376">
        <f>SUM(H2:N2)</f>
        <v>0</v>
      </c>
      <c r="P2" s="373"/>
    </row>
    <row r="3" spans="1:16" ht="21.75" customHeight="1" thickBot="1">
      <c r="A3" s="373"/>
      <c r="B3" s="734"/>
      <c r="C3" s="735"/>
      <c r="D3" s="735"/>
      <c r="E3" s="736"/>
      <c r="F3" s="373"/>
      <c r="G3" s="377" t="s">
        <v>157</v>
      </c>
      <c r="H3" s="378">
        <f>SUM('スコア付き集計表'!H50:H55)</f>
        <v>0</v>
      </c>
      <c r="I3" s="349">
        <f>SUM('スコア付き集計表'!L50:L55)</f>
        <v>0</v>
      </c>
      <c r="J3" s="349">
        <f>SUM('スコア付き集計表'!P50:P55)</f>
        <v>0</v>
      </c>
      <c r="K3" s="349">
        <f>SUM('スコア付き集計表'!T50:T55)</f>
        <v>0</v>
      </c>
      <c r="L3" s="349">
        <f>SUM('スコア付き集計表'!X50:X55)</f>
        <v>0</v>
      </c>
      <c r="M3" s="349">
        <f>SUM('スコア付き集計表'!AB50:AB55)</f>
        <v>0</v>
      </c>
      <c r="N3" s="349">
        <f>SUM('スコア付き集計表'!AF50:AF55)</f>
        <v>0</v>
      </c>
      <c r="O3" s="379">
        <f>SUM(H3:N3)</f>
        <v>0</v>
      </c>
      <c r="P3" s="373"/>
    </row>
    <row r="4" spans="1:16" ht="14.25" customHeight="1">
      <c r="A4" s="373"/>
      <c r="B4" s="737"/>
      <c r="C4" s="738"/>
      <c r="D4" s="738"/>
      <c r="E4" s="739"/>
      <c r="F4" s="373"/>
      <c r="G4" s="380" t="s">
        <v>155</v>
      </c>
      <c r="H4" s="381" t="str">
        <f>VLOOKUP(H5,'素データ'!$Y$7:$Z$14,2,FALSE)</f>
        <v>ファイターズＡ</v>
      </c>
      <c r="I4" s="382" t="str">
        <f>VLOOKUP(I5,'素データ'!$Y$7:$Z$14,2,FALSE)</f>
        <v>サンデーズＪｒＡ</v>
      </c>
      <c r="J4" s="383" t="str">
        <f>VLOOKUP(J5,'素データ'!$Y$7:$Z$14,2,FALSE)</f>
        <v>ファイターズＢ</v>
      </c>
      <c r="K4" s="382" t="str">
        <f>VLOOKUP(K5,'素データ'!$Y$7:$Z$14,2,FALSE)</f>
        <v>クッパーズＪｒ</v>
      </c>
      <c r="L4" s="384" t="str">
        <f>VLOOKUP(L5,'素データ'!$Y$7:$Z$14,2,FALSE)</f>
        <v>パイレーツ</v>
      </c>
      <c r="M4" s="385" t="str">
        <f>VLOOKUP(M5,'素データ'!$Y$7:$Z$14,2,FALSE)</f>
        <v>ベアーズ</v>
      </c>
      <c r="N4" s="386" t="str">
        <f>VLOOKUP(N5,'素データ'!$Y$7:$Z$14,2,FALSE)</f>
        <v>サンデーズＪｒＢ</v>
      </c>
      <c r="O4" s="363" t="s">
        <v>159</v>
      </c>
      <c r="P4" s="373"/>
    </row>
    <row r="5" spans="1:16" ht="16.5" thickBot="1">
      <c r="A5" s="373"/>
      <c r="B5" s="373"/>
      <c r="C5" s="373"/>
      <c r="D5" s="373"/>
      <c r="E5" s="373"/>
      <c r="F5" s="373"/>
      <c r="G5" s="377" t="s">
        <v>158</v>
      </c>
      <c r="H5" s="387" t="str">
        <f>'素データ'!Y7</f>
        <v>A</v>
      </c>
      <c r="I5" s="388" t="str">
        <f>'素データ'!Y8</f>
        <v>B</v>
      </c>
      <c r="J5" s="389" t="str">
        <f>'素データ'!Y9</f>
        <v>C</v>
      </c>
      <c r="K5" s="390" t="str">
        <f>'素データ'!Y10</f>
        <v>D</v>
      </c>
      <c r="L5" s="391" t="str">
        <f>'素データ'!Y11</f>
        <v>E</v>
      </c>
      <c r="M5" s="392" t="str">
        <f>'素データ'!Y12</f>
        <v>F</v>
      </c>
      <c r="N5" s="393" t="str">
        <f>'素データ'!Y13</f>
        <v>G</v>
      </c>
      <c r="O5" s="394" t="str">
        <f>IF(AND(O2='スコア付き集計表'!AP50,O3='スコア付き集計表'!AQ50),"OK","NG")</f>
        <v>OK</v>
      </c>
      <c r="P5" s="373"/>
    </row>
    <row r="6" spans="1:16" ht="14.25">
      <c r="A6" s="373"/>
      <c r="B6" s="373"/>
      <c r="C6" s="373"/>
      <c r="D6" s="373"/>
      <c r="E6" s="373"/>
      <c r="F6" s="373"/>
      <c r="G6" s="373"/>
      <c r="H6" s="373"/>
      <c r="I6" s="373"/>
      <c r="J6" s="373"/>
      <c r="K6" s="373"/>
      <c r="L6" s="373"/>
      <c r="M6" s="373"/>
      <c r="N6" s="373"/>
      <c r="O6" s="373"/>
      <c r="P6" s="373"/>
    </row>
    <row r="7" spans="1:16" ht="14.25">
      <c r="A7" s="373"/>
      <c r="B7" s="373"/>
      <c r="C7" s="373"/>
      <c r="D7" s="373"/>
      <c r="E7" s="373"/>
      <c r="F7" s="373"/>
      <c r="G7" s="373"/>
      <c r="H7" s="373"/>
      <c r="I7" s="373"/>
      <c r="J7" s="373"/>
      <c r="K7" s="373"/>
      <c r="L7" s="373"/>
      <c r="M7" s="373"/>
      <c r="N7" s="373"/>
      <c r="O7" s="373"/>
      <c r="P7" s="373"/>
    </row>
    <row r="8" spans="1:16" ht="14.25">
      <c r="A8" s="373"/>
      <c r="B8" s="373"/>
      <c r="C8" s="373"/>
      <c r="D8" s="373"/>
      <c r="E8" s="373"/>
      <c r="F8" s="373"/>
      <c r="G8" s="373"/>
      <c r="H8" s="373"/>
      <c r="I8" s="373"/>
      <c r="J8" s="373"/>
      <c r="K8" s="373"/>
      <c r="L8" s="373"/>
      <c r="M8" s="373"/>
      <c r="N8" s="373"/>
      <c r="O8" s="373"/>
      <c r="P8" s="373"/>
    </row>
    <row r="9" spans="1:16" ht="14.25">
      <c r="A9" s="373"/>
      <c r="B9" s="373"/>
      <c r="C9" s="373"/>
      <c r="D9" s="373"/>
      <c r="E9" s="373"/>
      <c r="F9" s="373"/>
      <c r="G9" s="373"/>
      <c r="H9" s="373"/>
      <c r="I9" s="373"/>
      <c r="J9" s="373"/>
      <c r="K9" s="373"/>
      <c r="L9" s="373"/>
      <c r="M9" s="373"/>
      <c r="N9" s="373"/>
      <c r="O9" s="373"/>
      <c r="P9" s="373"/>
    </row>
    <row r="10" spans="1:16" ht="14.25">
      <c r="A10" s="373"/>
      <c r="B10" s="373"/>
      <c r="C10" s="373"/>
      <c r="D10" s="373"/>
      <c r="E10" s="373"/>
      <c r="F10" s="373"/>
      <c r="G10" s="373"/>
      <c r="H10" s="373"/>
      <c r="I10" s="373"/>
      <c r="J10" s="373"/>
      <c r="K10" s="373"/>
      <c r="L10" s="373"/>
      <c r="M10" s="373"/>
      <c r="N10" s="373"/>
      <c r="O10" s="373"/>
      <c r="P10" s="373"/>
    </row>
    <row r="11" spans="1:16" ht="14.25">
      <c r="A11" s="373"/>
      <c r="B11" s="373"/>
      <c r="C11" s="373"/>
      <c r="D11" s="373"/>
      <c r="E11" s="373"/>
      <c r="F11" s="373"/>
      <c r="G11" s="373"/>
      <c r="H11" s="373"/>
      <c r="I11" s="373"/>
      <c r="J11" s="373"/>
      <c r="K11" s="373"/>
      <c r="L11" s="373"/>
      <c r="M11" s="373"/>
      <c r="N11" s="373"/>
      <c r="O11" s="373"/>
      <c r="P11" s="373"/>
    </row>
    <row r="12" spans="1:16" ht="14.25">
      <c r="A12" s="373"/>
      <c r="B12" s="373"/>
      <c r="C12" s="373"/>
      <c r="D12" s="373"/>
      <c r="E12" s="373"/>
      <c r="F12" s="373"/>
      <c r="G12" s="373"/>
      <c r="H12" s="373"/>
      <c r="I12" s="373"/>
      <c r="J12" s="373"/>
      <c r="K12" s="373"/>
      <c r="L12" s="373"/>
      <c r="M12" s="373"/>
      <c r="N12" s="373"/>
      <c r="O12" s="373"/>
      <c r="P12" s="373"/>
    </row>
    <row r="13" spans="1:16" ht="14.25">
      <c r="A13" s="373"/>
      <c r="B13" s="373"/>
      <c r="C13" s="373"/>
      <c r="D13" s="373"/>
      <c r="E13" s="373"/>
      <c r="F13" s="373"/>
      <c r="G13" s="373"/>
      <c r="H13" s="373"/>
      <c r="I13" s="373"/>
      <c r="J13" s="373"/>
      <c r="K13" s="373"/>
      <c r="L13" s="373"/>
      <c r="M13" s="373"/>
      <c r="N13" s="373"/>
      <c r="O13" s="373"/>
      <c r="P13" s="373"/>
    </row>
    <row r="14" spans="1:16" ht="14.25">
      <c r="A14" s="373"/>
      <c r="B14" s="373"/>
      <c r="C14" s="373"/>
      <c r="D14" s="373"/>
      <c r="E14" s="373"/>
      <c r="F14" s="373"/>
      <c r="G14" s="373"/>
      <c r="H14" s="373"/>
      <c r="I14" s="373"/>
      <c r="J14" s="373"/>
      <c r="K14" s="373"/>
      <c r="L14" s="373"/>
      <c r="M14" s="373"/>
      <c r="N14" s="373"/>
      <c r="O14" s="373"/>
      <c r="P14" s="373"/>
    </row>
    <row r="15" spans="1:16" ht="14.25">
      <c r="A15" s="373"/>
      <c r="B15" s="373"/>
      <c r="C15" s="373"/>
      <c r="D15" s="373"/>
      <c r="E15" s="373"/>
      <c r="F15" s="373"/>
      <c r="G15" s="373"/>
      <c r="H15" s="373"/>
      <c r="I15" s="373"/>
      <c r="J15" s="373"/>
      <c r="K15" s="373"/>
      <c r="L15" s="373"/>
      <c r="M15" s="373"/>
      <c r="N15" s="373"/>
      <c r="O15" s="373"/>
      <c r="P15" s="373"/>
    </row>
    <row r="16" spans="1:16" ht="14.25">
      <c r="A16" s="373"/>
      <c r="B16" s="373"/>
      <c r="C16" s="373"/>
      <c r="D16" s="373"/>
      <c r="E16" s="373"/>
      <c r="F16" s="373"/>
      <c r="G16" s="373"/>
      <c r="H16" s="373"/>
      <c r="I16" s="373"/>
      <c r="J16" s="373"/>
      <c r="K16" s="373"/>
      <c r="L16" s="373"/>
      <c r="M16" s="373"/>
      <c r="N16" s="373"/>
      <c r="O16" s="373"/>
      <c r="P16" s="373"/>
    </row>
    <row r="17" spans="1:16" ht="14.25">
      <c r="A17" s="373"/>
      <c r="B17" s="373"/>
      <c r="C17" s="373"/>
      <c r="D17" s="373"/>
      <c r="E17" s="373"/>
      <c r="F17" s="373"/>
      <c r="G17" s="373"/>
      <c r="H17" s="373"/>
      <c r="I17" s="373"/>
      <c r="J17" s="373"/>
      <c r="K17" s="373"/>
      <c r="L17" s="373"/>
      <c r="M17" s="373"/>
      <c r="N17" s="373"/>
      <c r="O17" s="373"/>
      <c r="P17" s="373"/>
    </row>
    <row r="18" spans="1:16" ht="14.25">
      <c r="A18" s="373"/>
      <c r="B18" s="373"/>
      <c r="C18" s="373"/>
      <c r="D18" s="373"/>
      <c r="E18" s="373"/>
      <c r="F18" s="373"/>
      <c r="G18" s="373"/>
      <c r="H18" s="373"/>
      <c r="I18" s="373"/>
      <c r="J18" s="373"/>
      <c r="K18" s="373"/>
      <c r="L18" s="373"/>
      <c r="M18" s="373"/>
      <c r="N18" s="373"/>
      <c r="O18" s="373"/>
      <c r="P18" s="373"/>
    </row>
    <row r="19" spans="1:16" ht="14.25">
      <c r="A19" s="373"/>
      <c r="B19" s="373"/>
      <c r="C19" s="373"/>
      <c r="D19" s="373"/>
      <c r="E19" s="373"/>
      <c r="F19" s="373"/>
      <c r="G19" s="373"/>
      <c r="H19" s="373"/>
      <c r="I19" s="373"/>
      <c r="J19" s="373"/>
      <c r="K19" s="373"/>
      <c r="L19" s="373"/>
      <c r="M19" s="373"/>
      <c r="N19" s="373"/>
      <c r="O19" s="373"/>
      <c r="P19" s="373"/>
    </row>
    <row r="20" spans="1:16" ht="14.25">
      <c r="A20" s="373"/>
      <c r="B20" s="373"/>
      <c r="C20" s="373"/>
      <c r="D20" s="373"/>
      <c r="E20" s="373"/>
      <c r="F20" s="373"/>
      <c r="G20" s="373"/>
      <c r="H20" s="373"/>
      <c r="I20" s="373"/>
      <c r="J20" s="373"/>
      <c r="K20" s="373"/>
      <c r="L20" s="373"/>
      <c r="M20" s="373"/>
      <c r="N20" s="373"/>
      <c r="O20" s="373"/>
      <c r="P20" s="373"/>
    </row>
    <row r="21" spans="1:16" ht="14.25">
      <c r="A21" s="373"/>
      <c r="B21" s="373"/>
      <c r="C21" s="373"/>
      <c r="D21" s="373"/>
      <c r="E21" s="373"/>
      <c r="F21" s="373"/>
      <c r="G21" s="373"/>
      <c r="H21" s="373"/>
      <c r="I21" s="373"/>
      <c r="J21" s="373"/>
      <c r="K21" s="373"/>
      <c r="L21" s="373"/>
      <c r="M21" s="373"/>
      <c r="N21" s="373"/>
      <c r="O21" s="373"/>
      <c r="P21" s="373"/>
    </row>
    <row r="22" spans="1:16" ht="14.25">
      <c r="A22" s="373"/>
      <c r="B22" s="373"/>
      <c r="C22" s="373"/>
      <c r="D22" s="373"/>
      <c r="E22" s="373"/>
      <c r="F22" s="373"/>
      <c r="G22" s="373"/>
      <c r="H22" s="373"/>
      <c r="I22" s="373"/>
      <c r="J22" s="373"/>
      <c r="K22" s="373"/>
      <c r="L22" s="373"/>
      <c r="M22" s="373"/>
      <c r="N22" s="373"/>
      <c r="O22" s="373"/>
      <c r="P22" s="373"/>
    </row>
    <row r="23" spans="1:16" ht="14.25">
      <c r="A23" s="373"/>
      <c r="B23" s="373"/>
      <c r="C23" s="373"/>
      <c r="D23" s="373"/>
      <c r="E23" s="373"/>
      <c r="F23" s="373"/>
      <c r="G23" s="373"/>
      <c r="H23" s="373"/>
      <c r="I23" s="373"/>
      <c r="J23" s="373"/>
      <c r="K23" s="373"/>
      <c r="L23" s="373"/>
      <c r="M23" s="373"/>
      <c r="N23" s="373"/>
      <c r="O23" s="373"/>
      <c r="P23" s="373"/>
    </row>
    <row r="24" spans="1:16" ht="14.25">
      <c r="A24" s="373"/>
      <c r="B24" s="373"/>
      <c r="C24" s="373"/>
      <c r="D24" s="373"/>
      <c r="E24" s="373"/>
      <c r="F24" s="373"/>
      <c r="G24" s="373"/>
      <c r="H24" s="373"/>
      <c r="I24" s="373"/>
      <c r="J24" s="373"/>
      <c r="K24" s="373"/>
      <c r="L24" s="373"/>
      <c r="M24" s="373"/>
      <c r="N24" s="373"/>
      <c r="O24" s="373"/>
      <c r="P24" s="373"/>
    </row>
    <row r="25" spans="1:16" ht="14.25">
      <c r="A25" s="373"/>
      <c r="B25" s="373"/>
      <c r="C25" s="373"/>
      <c r="D25" s="373"/>
      <c r="E25" s="373"/>
      <c r="F25" s="373"/>
      <c r="G25" s="373"/>
      <c r="H25" s="373"/>
      <c r="I25" s="373"/>
      <c r="J25" s="373"/>
      <c r="K25" s="373"/>
      <c r="L25" s="373"/>
      <c r="M25" s="373"/>
      <c r="N25" s="373"/>
      <c r="O25" s="373"/>
      <c r="P25" s="373"/>
    </row>
    <row r="26" spans="1:16" ht="14.25">
      <c r="A26" s="373"/>
      <c r="B26" s="373"/>
      <c r="C26" s="373"/>
      <c r="D26" s="373"/>
      <c r="E26" s="373"/>
      <c r="F26" s="373"/>
      <c r="G26" s="373"/>
      <c r="H26" s="373"/>
      <c r="I26" s="373"/>
      <c r="J26" s="373"/>
      <c r="K26" s="373"/>
      <c r="L26" s="373"/>
      <c r="M26" s="373"/>
      <c r="N26" s="373"/>
      <c r="O26" s="373"/>
      <c r="P26" s="373"/>
    </row>
    <row r="27" spans="1:16" ht="14.25">
      <c r="A27" s="373"/>
      <c r="B27" s="373"/>
      <c r="C27" s="373"/>
      <c r="D27" s="373"/>
      <c r="E27" s="373"/>
      <c r="F27" s="373"/>
      <c r="G27" s="373"/>
      <c r="H27" s="373"/>
      <c r="I27" s="373"/>
      <c r="J27" s="373"/>
      <c r="K27" s="373"/>
      <c r="L27" s="373"/>
      <c r="M27" s="373"/>
      <c r="N27" s="373"/>
      <c r="O27" s="373"/>
      <c r="P27" s="373"/>
    </row>
    <row r="28" spans="1:16" ht="14.25">
      <c r="A28" s="373"/>
      <c r="B28" s="373"/>
      <c r="C28" s="373"/>
      <c r="D28" s="373"/>
      <c r="E28" s="373"/>
      <c r="F28" s="373"/>
      <c r="G28" s="373"/>
      <c r="H28" s="373"/>
      <c r="I28" s="373"/>
      <c r="J28" s="373"/>
      <c r="K28" s="373"/>
      <c r="L28" s="373"/>
      <c r="M28" s="373"/>
      <c r="N28" s="373"/>
      <c r="O28" s="373"/>
      <c r="P28" s="373"/>
    </row>
    <row r="29" spans="1:16" ht="14.25">
      <c r="A29" s="373"/>
      <c r="B29" s="373"/>
      <c r="C29" s="373"/>
      <c r="D29" s="373"/>
      <c r="E29" s="373"/>
      <c r="F29" s="373"/>
      <c r="G29" s="373"/>
      <c r="H29" s="373"/>
      <c r="I29" s="373"/>
      <c r="J29" s="373"/>
      <c r="K29" s="373"/>
      <c r="L29" s="373"/>
      <c r="M29" s="373"/>
      <c r="N29" s="373"/>
      <c r="O29" s="373"/>
      <c r="P29" s="373"/>
    </row>
    <row r="30" spans="1:16" ht="14.25">
      <c r="A30" s="373"/>
      <c r="B30" s="373"/>
      <c r="C30" s="373"/>
      <c r="D30" s="373"/>
      <c r="E30" s="373"/>
      <c r="F30" s="373"/>
      <c r="G30" s="373"/>
      <c r="H30" s="373"/>
      <c r="I30" s="373"/>
      <c r="J30" s="373"/>
      <c r="K30" s="373"/>
      <c r="L30" s="373"/>
      <c r="M30" s="373"/>
      <c r="N30" s="373"/>
      <c r="O30" s="373"/>
      <c r="P30" s="373"/>
    </row>
    <row r="31" spans="1:16" ht="14.25">
      <c r="A31" s="373"/>
      <c r="B31" s="373"/>
      <c r="C31" s="373"/>
      <c r="D31" s="373"/>
      <c r="E31" s="373"/>
      <c r="F31" s="373"/>
      <c r="G31" s="373"/>
      <c r="H31" s="373"/>
      <c r="I31" s="373"/>
      <c r="J31" s="373"/>
      <c r="K31" s="373"/>
      <c r="L31" s="373"/>
      <c r="M31" s="373"/>
      <c r="N31" s="373"/>
      <c r="O31" s="373"/>
      <c r="P31" s="373"/>
    </row>
    <row r="32" spans="1:16" ht="14.25">
      <c r="A32" s="373"/>
      <c r="B32" s="373"/>
      <c r="C32" s="373"/>
      <c r="D32" s="373"/>
      <c r="E32" s="373"/>
      <c r="F32" s="373"/>
      <c r="G32" s="373"/>
      <c r="H32" s="373"/>
      <c r="I32" s="373"/>
      <c r="J32" s="373"/>
      <c r="K32" s="373"/>
      <c r="L32" s="373"/>
      <c r="M32" s="373"/>
      <c r="N32" s="373"/>
      <c r="O32" s="373"/>
      <c r="P32" s="373"/>
    </row>
    <row r="33" spans="1:16" ht="14.25">
      <c r="A33" s="373"/>
      <c r="B33" s="373"/>
      <c r="C33" s="373"/>
      <c r="D33" s="373"/>
      <c r="E33" s="373"/>
      <c r="F33" s="373"/>
      <c r="G33" s="373"/>
      <c r="H33" s="373"/>
      <c r="I33" s="373"/>
      <c r="J33" s="373"/>
      <c r="K33" s="373"/>
      <c r="L33" s="373"/>
      <c r="M33" s="373"/>
      <c r="N33" s="373"/>
      <c r="O33" s="373"/>
      <c r="P33" s="373"/>
    </row>
    <row r="34" spans="1:16" ht="14.25">
      <c r="A34" s="373"/>
      <c r="B34" s="373"/>
      <c r="C34" s="373"/>
      <c r="D34" s="373"/>
      <c r="E34" s="373"/>
      <c r="F34" s="373"/>
      <c r="G34" s="373"/>
      <c r="H34" s="373"/>
      <c r="I34" s="373"/>
      <c r="J34" s="373"/>
      <c r="K34" s="373"/>
      <c r="L34" s="373"/>
      <c r="M34" s="373"/>
      <c r="N34" s="373"/>
      <c r="O34" s="373"/>
      <c r="P34" s="373"/>
    </row>
    <row r="35" spans="1:16" ht="14.25">
      <c r="A35" s="373"/>
      <c r="B35" s="373"/>
      <c r="C35" s="373"/>
      <c r="D35" s="373"/>
      <c r="E35" s="373"/>
      <c r="F35" s="373"/>
      <c r="G35" s="373"/>
      <c r="H35" s="373"/>
      <c r="I35" s="373"/>
      <c r="J35" s="373"/>
      <c r="K35" s="373"/>
      <c r="L35" s="373"/>
      <c r="M35" s="373"/>
      <c r="N35" s="373"/>
      <c r="O35" s="373"/>
      <c r="P35" s="373"/>
    </row>
    <row r="36" spans="1:16" ht="14.25">
      <c r="A36" s="373"/>
      <c r="B36" s="373"/>
      <c r="C36" s="373"/>
      <c r="D36" s="373"/>
      <c r="E36" s="373"/>
      <c r="F36" s="373"/>
      <c r="G36" s="373"/>
      <c r="H36" s="373"/>
      <c r="I36" s="373"/>
      <c r="J36" s="373"/>
      <c r="K36" s="373"/>
      <c r="L36" s="373"/>
      <c r="M36" s="373"/>
      <c r="N36" s="373"/>
      <c r="O36" s="373"/>
      <c r="P36" s="373"/>
    </row>
    <row r="37" spans="1:16" ht="14.25">
      <c r="A37" s="373"/>
      <c r="B37" s="373"/>
      <c r="C37" s="373"/>
      <c r="D37" s="373"/>
      <c r="E37" s="373"/>
      <c r="F37" s="373"/>
      <c r="G37" s="373"/>
      <c r="H37" s="373"/>
      <c r="I37" s="373"/>
      <c r="J37" s="373"/>
      <c r="K37" s="373"/>
      <c r="L37" s="373"/>
      <c r="M37" s="373"/>
      <c r="N37" s="373"/>
      <c r="O37" s="373"/>
      <c r="P37" s="373"/>
    </row>
    <row r="38" spans="1:16" ht="14.25">
      <c r="A38" s="373"/>
      <c r="B38" s="373"/>
      <c r="C38" s="373"/>
      <c r="D38" s="373"/>
      <c r="E38" s="373"/>
      <c r="F38" s="373"/>
      <c r="G38" s="373"/>
      <c r="H38" s="373"/>
      <c r="I38" s="373"/>
      <c r="J38" s="373"/>
      <c r="K38" s="373"/>
      <c r="L38" s="373"/>
      <c r="M38" s="373"/>
      <c r="N38" s="373"/>
      <c r="O38" s="373"/>
      <c r="P38" s="373"/>
    </row>
    <row r="39" spans="1:16" ht="14.25">
      <c r="A39" s="373"/>
      <c r="B39" s="373"/>
      <c r="C39" s="373"/>
      <c r="D39" s="373"/>
      <c r="E39" s="373"/>
      <c r="F39" s="373"/>
      <c r="G39" s="373"/>
      <c r="H39" s="373"/>
      <c r="I39" s="373"/>
      <c r="J39" s="373"/>
      <c r="K39" s="373"/>
      <c r="L39" s="373"/>
      <c r="M39" s="373"/>
      <c r="N39" s="373"/>
      <c r="O39" s="373"/>
      <c r="P39" s="373"/>
    </row>
    <row r="40" spans="1:16" ht="14.25">
      <c r="A40" s="373"/>
      <c r="B40" s="373"/>
      <c r="C40" s="373"/>
      <c r="D40" s="373"/>
      <c r="E40" s="373"/>
      <c r="F40" s="373"/>
      <c r="G40" s="373"/>
      <c r="H40" s="373"/>
      <c r="I40" s="373"/>
      <c r="J40" s="373"/>
      <c r="K40" s="373"/>
      <c r="L40" s="373"/>
      <c r="M40" s="373"/>
      <c r="N40" s="373"/>
      <c r="O40" s="373"/>
      <c r="P40" s="373"/>
    </row>
  </sheetData>
  <sheetProtection/>
  <mergeCells count="1">
    <mergeCell ref="B2:E4"/>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10"/>
  </sheetPr>
  <dimension ref="A1:AP85"/>
  <sheetViews>
    <sheetView showGridLines="0" workbookViewId="0" topLeftCell="A51">
      <selection activeCell="F64" sqref="F64"/>
    </sheetView>
  </sheetViews>
  <sheetFormatPr defaultColWidth="8.796875" defaultRowHeight="15"/>
  <cols>
    <col min="1" max="1" width="2.69921875" style="21" customWidth="1"/>
    <col min="2" max="2" width="9.5" style="2" bestFit="1" customWidth="1"/>
    <col min="3" max="3" width="9.5" style="3" customWidth="1"/>
    <col min="4" max="4" width="9.69921875" style="2" customWidth="1"/>
    <col min="5" max="5" width="8.796875" style="3" customWidth="1"/>
    <col min="6" max="6" width="14.69921875" style="2" customWidth="1"/>
    <col min="7" max="7" width="6.8984375" style="3" customWidth="1"/>
    <col min="8" max="8" width="8.5" style="3" customWidth="1"/>
    <col min="9" max="9" width="14.69921875" style="2" customWidth="1"/>
    <col min="10" max="10" width="6.8984375" style="3" customWidth="1"/>
    <col min="11" max="11" width="8.796875" style="3" customWidth="1"/>
    <col min="12" max="12" width="9.796875" style="3" customWidth="1"/>
    <col min="13" max="13" width="8" style="3" customWidth="1"/>
    <col min="14" max="14" width="9.8984375" style="3" customWidth="1"/>
    <col min="15" max="15" width="5.59765625" style="3" customWidth="1"/>
    <col min="16" max="18" width="9" style="3" customWidth="1"/>
    <col min="19" max="19" width="11.59765625" style="3" customWidth="1"/>
    <col min="20" max="20" width="10.3984375" style="3" customWidth="1"/>
    <col min="21" max="21" width="4.5" style="216" customWidth="1"/>
    <col min="22" max="22" width="9.3984375" style="2" customWidth="1"/>
    <col min="23" max="23" width="9.09765625" style="2" customWidth="1"/>
    <col min="24" max="24" width="4.5" style="2" customWidth="1"/>
    <col min="25" max="25" width="5.8984375" style="2" customWidth="1"/>
    <col min="26" max="26" width="16.8984375" style="2" customWidth="1"/>
    <col min="27" max="27" width="9.5" style="2" customWidth="1"/>
    <col min="28" max="28" width="10.59765625" style="2" customWidth="1"/>
    <col min="29" max="29" width="3.8984375" style="2" customWidth="1"/>
    <col min="30" max="30" width="9" style="3" customWidth="1"/>
    <col min="31" max="32" width="9" style="2" customWidth="1"/>
    <col min="33" max="33" width="3.796875" style="2" customWidth="1"/>
    <col min="34" max="34" width="10.5" style="2" customWidth="1"/>
    <col min="35" max="42" width="5.69921875" style="2" customWidth="1"/>
    <col min="43" max="16384" width="9" style="2" customWidth="1"/>
  </cols>
  <sheetData>
    <row r="1" spans="1:42" ht="15">
      <c r="A1" s="723" t="s">
        <v>364</v>
      </c>
      <c r="B1" s="723"/>
      <c r="C1" s="723"/>
      <c r="D1" s="723"/>
      <c r="E1" s="723"/>
      <c r="F1" s="723"/>
      <c r="G1" s="723"/>
      <c r="H1" s="723"/>
      <c r="I1" s="723"/>
      <c r="J1" s="723"/>
      <c r="K1" s="723"/>
      <c r="L1" s="723"/>
      <c r="M1" s="723"/>
      <c r="N1" s="769" t="s">
        <v>134</v>
      </c>
      <c r="O1" s="769"/>
      <c r="P1" s="769"/>
      <c r="Q1" s="769"/>
      <c r="R1" s="769"/>
      <c r="S1" s="769"/>
      <c r="T1" s="769"/>
      <c r="U1" s="769"/>
      <c r="V1" s="769"/>
      <c r="W1" s="769"/>
      <c r="X1" s="42"/>
      <c r="Y1" s="768" t="s">
        <v>393</v>
      </c>
      <c r="Z1" s="768"/>
      <c r="AA1" s="768"/>
      <c r="AB1" s="768"/>
      <c r="AC1" s="768"/>
      <c r="AD1" s="768"/>
      <c r="AE1" s="768"/>
      <c r="AF1" s="768"/>
      <c r="AG1" s="42"/>
      <c r="AH1" s="767" t="s">
        <v>341</v>
      </c>
      <c r="AI1" s="767"/>
      <c r="AJ1" s="767"/>
      <c r="AK1" s="767"/>
      <c r="AL1" s="767"/>
      <c r="AM1" s="767"/>
      <c r="AN1" s="767"/>
      <c r="AO1" s="767"/>
      <c r="AP1" s="767"/>
    </row>
    <row r="2" spans="22:42" ht="6.75" customHeight="1" thickBot="1">
      <c r="V2" s="3"/>
      <c r="W2" s="3"/>
      <c r="Y2" s="41"/>
      <c r="Z2" s="41"/>
      <c r="AA2" s="41"/>
      <c r="AB2" s="17"/>
      <c r="AC2" s="17"/>
      <c r="AD2" s="41"/>
      <c r="AE2" s="41"/>
      <c r="AF2" s="41"/>
      <c r="AH2" s="743"/>
      <c r="AI2" s="743"/>
      <c r="AJ2" s="743"/>
      <c r="AK2" s="743"/>
      <c r="AL2" s="743"/>
      <c r="AM2" s="743"/>
      <c r="AN2" s="3"/>
      <c r="AO2" s="3"/>
      <c r="AP2" s="3"/>
    </row>
    <row r="3" spans="1:39" s="3" customFormat="1" ht="15.75" thickBot="1">
      <c r="A3" s="216"/>
      <c r="B3" s="757" t="s">
        <v>14</v>
      </c>
      <c r="C3" s="747"/>
      <c r="D3" s="747" t="s">
        <v>12</v>
      </c>
      <c r="E3" s="747"/>
      <c r="F3" s="747" t="s">
        <v>13</v>
      </c>
      <c r="G3" s="747"/>
      <c r="H3" s="747"/>
      <c r="I3" s="747"/>
      <c r="J3" s="747"/>
      <c r="K3" s="747"/>
      <c r="L3" s="745" t="s">
        <v>67</v>
      </c>
      <c r="M3" s="761" t="s">
        <v>60</v>
      </c>
      <c r="N3" s="762"/>
      <c r="O3" s="762"/>
      <c r="P3" s="762"/>
      <c r="Q3" s="762"/>
      <c r="R3" s="762"/>
      <c r="S3" s="762"/>
      <c r="T3" s="763"/>
      <c r="U3" s="306" t="s">
        <v>367</v>
      </c>
      <c r="V3" s="753" t="s">
        <v>350</v>
      </c>
      <c r="W3" s="754"/>
      <c r="Y3" s="686" t="s">
        <v>8</v>
      </c>
      <c r="Z3" s="686"/>
      <c r="AA3" s="686"/>
      <c r="AB3" s="17"/>
      <c r="AC3" s="2"/>
      <c r="AD3" s="686" t="s">
        <v>50</v>
      </c>
      <c r="AE3" s="686"/>
      <c r="AF3" s="686"/>
      <c r="AH3" s="165" t="s">
        <v>338</v>
      </c>
      <c r="AI3" s="166" t="s">
        <v>409</v>
      </c>
      <c r="AK3" s="167"/>
      <c r="AL3" s="167"/>
      <c r="AM3" s="167" t="s">
        <v>361</v>
      </c>
    </row>
    <row r="4" spans="1:42" s="3" customFormat="1" ht="15.75" thickBot="1">
      <c r="A4" s="216"/>
      <c r="B4" s="758" t="s">
        <v>9</v>
      </c>
      <c r="C4" s="748" t="s">
        <v>11</v>
      </c>
      <c r="D4" s="748" t="s">
        <v>9</v>
      </c>
      <c r="E4" s="748" t="s">
        <v>11</v>
      </c>
      <c r="F4" s="748" t="s">
        <v>66</v>
      </c>
      <c r="G4" s="748"/>
      <c r="H4" s="748"/>
      <c r="I4" s="748" t="s">
        <v>10</v>
      </c>
      <c r="J4" s="748"/>
      <c r="K4" s="748"/>
      <c r="L4" s="746"/>
      <c r="M4" s="759" t="s">
        <v>134</v>
      </c>
      <c r="N4" s="759"/>
      <c r="O4" s="759"/>
      <c r="P4" s="759"/>
      <c r="Q4" s="759"/>
      <c r="R4" s="760" t="s">
        <v>135</v>
      </c>
      <c r="S4" s="759" t="s">
        <v>131</v>
      </c>
      <c r="T4" s="759"/>
      <c r="U4" s="749" t="s">
        <v>365</v>
      </c>
      <c r="V4" s="755"/>
      <c r="W4" s="756"/>
      <c r="AD4" s="290" t="s">
        <v>391</v>
      </c>
      <c r="AE4" s="290" t="s">
        <v>392</v>
      </c>
      <c r="AF4" s="290" t="s">
        <v>128</v>
      </c>
      <c r="AH4" s="168"/>
      <c r="AI4" s="169" t="str">
        <f>Y7</f>
        <v>A</v>
      </c>
      <c r="AJ4" s="170" t="str">
        <f>Y8</f>
        <v>B</v>
      </c>
      <c r="AK4" s="170" t="str">
        <f>Y9</f>
        <v>C</v>
      </c>
      <c r="AL4" s="170" t="str">
        <f>Y10</f>
        <v>D</v>
      </c>
      <c r="AM4" s="170" t="str">
        <f>Y11</f>
        <v>E</v>
      </c>
      <c r="AN4" s="170" t="str">
        <f>Y12</f>
        <v>F</v>
      </c>
      <c r="AO4" s="170" t="str">
        <f>Y13</f>
        <v>G</v>
      </c>
      <c r="AP4" s="336" t="str">
        <f>Y14</f>
        <v>H</v>
      </c>
    </row>
    <row r="5" spans="1:42" s="3" customFormat="1" ht="15.75">
      <c r="A5" s="216" t="s">
        <v>160</v>
      </c>
      <c r="B5" s="758"/>
      <c r="C5" s="748"/>
      <c r="D5" s="748"/>
      <c r="E5" s="748"/>
      <c r="F5" s="16" t="s">
        <v>397</v>
      </c>
      <c r="G5" s="38" t="s">
        <v>61</v>
      </c>
      <c r="H5" s="200" t="s">
        <v>62</v>
      </c>
      <c r="I5" s="16" t="s">
        <v>398</v>
      </c>
      <c r="J5" s="38" t="s">
        <v>63</v>
      </c>
      <c r="K5" s="200" t="s">
        <v>64</v>
      </c>
      <c r="L5" s="16" t="s">
        <v>54</v>
      </c>
      <c r="M5" s="153" t="s">
        <v>22</v>
      </c>
      <c r="N5" s="154" t="s">
        <v>15</v>
      </c>
      <c r="O5" s="155" t="s">
        <v>340</v>
      </c>
      <c r="P5" s="39" t="s">
        <v>16</v>
      </c>
      <c r="Q5" s="156" t="s">
        <v>128</v>
      </c>
      <c r="R5" s="759"/>
      <c r="S5" s="39" t="s">
        <v>132</v>
      </c>
      <c r="T5" s="39" t="s">
        <v>133</v>
      </c>
      <c r="U5" s="749"/>
      <c r="V5" s="157" t="s">
        <v>352</v>
      </c>
      <c r="W5" s="9" t="s">
        <v>351</v>
      </c>
      <c r="Y5" s="751" t="s">
        <v>7</v>
      </c>
      <c r="Z5" s="68" t="s">
        <v>68</v>
      </c>
      <c r="AA5" s="764" t="s">
        <v>7</v>
      </c>
      <c r="AB5" s="766" t="s">
        <v>136</v>
      </c>
      <c r="AD5" s="5" t="s">
        <v>22</v>
      </c>
      <c r="AE5" s="5" t="s">
        <v>15</v>
      </c>
      <c r="AF5" s="5" t="s">
        <v>23</v>
      </c>
      <c r="AH5" s="171" t="str">
        <f>Y7</f>
        <v>A</v>
      </c>
      <c r="AI5" s="229"/>
      <c r="AJ5" s="213" t="str">
        <f>VLOOKUP("AB1",$P$7:$U$69,6,FALSE)</f>
        <v>01</v>
      </c>
      <c r="AK5" s="213">
        <f>VLOOKUP("AC1",$P$7:$U$69,6,FALSE)</f>
        <v>19</v>
      </c>
      <c r="AL5" s="213">
        <f>VLOOKUP("AD1",$P$7:$U$69,6,FALSE)</f>
        <v>16</v>
      </c>
      <c r="AM5" s="213" t="str">
        <f>VLOOKUP("AE1",$P$7:$U$69,6,FALSE)</f>
        <v>06</v>
      </c>
      <c r="AN5" s="213">
        <f>VLOOKUP("AF1",$P$7:$U$69,6,FALSE)</f>
        <v>10</v>
      </c>
      <c r="AO5" s="213">
        <f>VLOOKUP("AG1",$P$7:$U$69,6,FALSE)</f>
        <v>21</v>
      </c>
      <c r="AP5" s="337" t="e">
        <f>VLOOKUP("AH1",$P$7:$U$69,6,FALSE)</f>
        <v>#N/A</v>
      </c>
    </row>
    <row r="6" spans="1:42" s="40" customFormat="1" ht="16.5" thickBot="1">
      <c r="A6" s="217"/>
      <c r="B6" s="307" t="s">
        <v>339</v>
      </c>
      <c r="C6" s="308" t="s">
        <v>339</v>
      </c>
      <c r="D6" s="309" t="s">
        <v>59</v>
      </c>
      <c r="E6" s="309" t="s">
        <v>59</v>
      </c>
      <c r="F6" s="310" t="s">
        <v>349</v>
      </c>
      <c r="G6" s="310" t="s">
        <v>346</v>
      </c>
      <c r="H6" s="309" t="s">
        <v>59</v>
      </c>
      <c r="I6" s="310" t="s">
        <v>349</v>
      </c>
      <c r="J6" s="310" t="s">
        <v>346</v>
      </c>
      <c r="K6" s="309" t="s">
        <v>59</v>
      </c>
      <c r="L6" s="310" t="s">
        <v>347</v>
      </c>
      <c r="M6" s="311" t="s">
        <v>339</v>
      </c>
      <c r="N6" s="310" t="s">
        <v>344</v>
      </c>
      <c r="O6" s="310" t="s">
        <v>347</v>
      </c>
      <c r="P6" s="310" t="s">
        <v>345</v>
      </c>
      <c r="Q6" s="310" t="s">
        <v>347</v>
      </c>
      <c r="R6" s="310" t="s">
        <v>348</v>
      </c>
      <c r="S6" s="310" t="s">
        <v>343</v>
      </c>
      <c r="T6" s="310" t="s">
        <v>343</v>
      </c>
      <c r="U6" s="750"/>
      <c r="V6" s="310" t="s">
        <v>347</v>
      </c>
      <c r="W6" s="312" t="s">
        <v>343</v>
      </c>
      <c r="Y6" s="752"/>
      <c r="Z6" s="289" t="s">
        <v>339</v>
      </c>
      <c r="AA6" s="765"/>
      <c r="AB6" s="766"/>
      <c r="AD6" s="8" t="s">
        <v>24</v>
      </c>
      <c r="AE6" s="8" t="s">
        <v>24</v>
      </c>
      <c r="AF6" s="291" t="s">
        <v>394</v>
      </c>
      <c r="AH6" s="171" t="str">
        <f aca="true" t="shared" si="0" ref="AH6:AH12">Y8</f>
        <v>B</v>
      </c>
      <c r="AI6" s="227"/>
      <c r="AJ6" s="172"/>
      <c r="AK6" s="149">
        <f>VLOOKUP("BC1",$P$7:$U$69,6,FALSE)</f>
        <v>11</v>
      </c>
      <c r="AL6" s="149">
        <f>VLOOKUP("BD1",$P$7:$U$69,6,FALSE)</f>
        <v>17</v>
      </c>
      <c r="AM6" s="149">
        <f>VLOOKUP("BE1",$P$7:$U$69,6,FALSE)</f>
        <v>20</v>
      </c>
      <c r="AN6" s="149">
        <f>VLOOKUP("BF1",$P$7:$U$69,6,FALSE)</f>
        <v>14</v>
      </c>
      <c r="AO6" s="149" t="str">
        <f>VLOOKUP("BG1",$P$7:$U$69,6,FALSE)</f>
        <v>08</v>
      </c>
      <c r="AP6" s="338" t="e">
        <f>VLOOKUP("BH1",$P$7:$U$69,6,FALSE)</f>
        <v>#N/A</v>
      </c>
    </row>
    <row r="7" spans="1:42" ht="15.75">
      <c r="A7" s="21" t="s">
        <v>368</v>
      </c>
      <c r="B7" s="219">
        <v>43191</v>
      </c>
      <c r="C7" s="220">
        <v>1</v>
      </c>
      <c r="D7" s="497"/>
      <c r="E7" s="503"/>
      <c r="F7" s="329" t="str">
        <f aca="true" t="shared" si="1" ref="F7:F38">VLOOKUP(G7,$Y$7:$Z$14,2,FALSE)</f>
        <v>ファイターズＡ</v>
      </c>
      <c r="G7" s="221" t="str">
        <f>MID(M7,1,1)</f>
        <v>A</v>
      </c>
      <c r="H7" s="299">
        <v>3</v>
      </c>
      <c r="I7" s="329" t="str">
        <f aca="true" t="shared" si="2" ref="I7:I38">VLOOKUP(J7,$Y$7:$Z$14,2,FALSE)</f>
        <v>サンデーズＪｒＡ</v>
      </c>
      <c r="J7" s="221" t="str">
        <f>MID(M7,2,1)</f>
        <v>B</v>
      </c>
      <c r="K7" s="299">
        <v>6</v>
      </c>
      <c r="L7" s="221" t="str">
        <f aca="true" t="shared" si="3" ref="L7:L12">IF(H7="","",IF(H7=K7,"△",IF(H7&gt;K7,"○","●")))</f>
        <v>●</v>
      </c>
      <c r="M7" s="303" t="s">
        <v>442</v>
      </c>
      <c r="N7" s="221" t="str">
        <f aca="true" t="shared" si="4" ref="N7:N38">VLOOKUP(M7,$AD$6:$AE$61,2,FALSE)</f>
        <v>AB</v>
      </c>
      <c r="O7" s="221">
        <f>COUNTIF($N$7:N7,N7)</f>
        <v>1</v>
      </c>
      <c r="P7" s="221" t="str">
        <f aca="true" t="shared" si="5" ref="P7:P38">CONCATENATE(N7,O7)</f>
        <v>AB1</v>
      </c>
      <c r="Q7" s="221" t="str">
        <f aca="true" t="shared" si="6" ref="Q7:Q38">VLOOKUP(M7,$AD$6:$AF$61,3,FALSE)</f>
        <v>N</v>
      </c>
      <c r="R7" s="221" t="str">
        <f>IF(L7="","",IF(Q7="N",L7,VLOOKUP(L7,$Z$21:$AA$23,2,FALSE)))</f>
        <v>●</v>
      </c>
      <c r="S7" s="221">
        <f>IF(L7="","",IF(Q7="N",H7,K7))</f>
        <v>3</v>
      </c>
      <c r="T7" s="221">
        <f>IF(L7="","",IF(Q7="N",K7,H7))</f>
        <v>6</v>
      </c>
      <c r="U7" s="218" t="str">
        <f>A7</f>
        <v>01</v>
      </c>
      <c r="V7" s="304" t="str">
        <f>IF(AND(H7&lt;&gt;"",K7&lt;&gt;""),"0","1")</f>
        <v>0</v>
      </c>
      <c r="W7" s="305"/>
      <c r="Y7" s="158" t="s">
        <v>354</v>
      </c>
      <c r="Z7" s="300" t="s">
        <v>415</v>
      </c>
      <c r="AA7" s="143" t="s">
        <v>17</v>
      </c>
      <c r="AB7" s="42">
        <f>IF(OR(Z7="",COUNTIF($Z$7:$Z$14,Z7)&gt;1),"エラー","")</f>
      </c>
      <c r="AD7" s="8" t="s">
        <v>25</v>
      </c>
      <c r="AE7" s="8" t="s">
        <v>25</v>
      </c>
      <c r="AF7" s="291" t="s">
        <v>394</v>
      </c>
      <c r="AH7" s="171" t="str">
        <f t="shared" si="0"/>
        <v>C</v>
      </c>
      <c r="AI7" s="230"/>
      <c r="AJ7" s="173"/>
      <c r="AK7" s="172"/>
      <c r="AL7" s="149" t="str">
        <f>VLOOKUP("CD1",$P$7:$U$69,6,FALSE)</f>
        <v>05</v>
      </c>
      <c r="AM7" s="149">
        <f>VLOOKUP("CE1",$P$7:$U$69,6,FALSE)</f>
        <v>15</v>
      </c>
      <c r="AN7" s="149">
        <f>VLOOKUP("CF1",$P$7:$U$69,6,FALSE)</f>
        <v>18</v>
      </c>
      <c r="AO7" s="149" t="str">
        <f>VLOOKUP("CG1",$P$7:$U$69,6,FALSE)</f>
        <v>02</v>
      </c>
      <c r="AP7" s="338" t="e">
        <f>VLOOKUP("CH1",$P$7:$U$69,6,FALSE)</f>
        <v>#N/A</v>
      </c>
    </row>
    <row r="8" spans="1:42" ht="15.75">
      <c r="A8" s="21" t="s">
        <v>369</v>
      </c>
      <c r="B8" s="219">
        <v>43191</v>
      </c>
      <c r="C8" s="152">
        <v>2</v>
      </c>
      <c r="D8" s="497"/>
      <c r="E8" s="504"/>
      <c r="F8" s="330" t="str">
        <f t="shared" si="1"/>
        <v>サンデーズＪｒＢ</v>
      </c>
      <c r="G8" s="201" t="str">
        <f aca="true" t="shared" si="7" ref="G8:G62">MID(M8,1,1)</f>
        <v>G</v>
      </c>
      <c r="H8" s="297">
        <v>0</v>
      </c>
      <c r="I8" s="330" t="str">
        <f t="shared" si="2"/>
        <v>ファイターズＢ</v>
      </c>
      <c r="J8" s="201" t="str">
        <f aca="true" t="shared" si="8" ref="J8:J62">MID(M8,2,1)</f>
        <v>C</v>
      </c>
      <c r="K8" s="297">
        <v>24</v>
      </c>
      <c r="L8" s="201" t="str">
        <f t="shared" si="3"/>
        <v>●</v>
      </c>
      <c r="M8" s="199" t="s">
        <v>443</v>
      </c>
      <c r="N8" s="201" t="str">
        <f t="shared" si="4"/>
        <v>CG</v>
      </c>
      <c r="O8" s="201">
        <f>COUNTIF($N$7:N8,N8)</f>
        <v>1</v>
      </c>
      <c r="P8" s="201" t="str">
        <f t="shared" si="5"/>
        <v>CG1</v>
      </c>
      <c r="Q8" s="201" t="str">
        <f t="shared" si="6"/>
        <v>Y</v>
      </c>
      <c r="R8" s="201" t="str">
        <f>IF(L8="","",IF(Q8="N",L8,VLOOKUP(L8,$Z$21:$AA$23,2,FALSE)))</f>
        <v>○</v>
      </c>
      <c r="S8" s="201">
        <f>IF(L8="","",IF(Q8="N",H8,K8))</f>
        <v>24</v>
      </c>
      <c r="T8" s="201">
        <f>IF(L8="","",IF(Q8="N",K8,H8))</f>
        <v>0</v>
      </c>
      <c r="U8" s="218" t="str">
        <f aca="true" t="shared" si="9" ref="U8:U62">A8</f>
        <v>02</v>
      </c>
      <c r="V8" s="205" t="str">
        <f>IF(AND(H8&lt;&gt;"",K8&lt;&gt;""),"0","1")</f>
        <v>0</v>
      </c>
      <c r="W8" s="206">
        <f>IF(D7&lt;&gt;"",D7,B7)</f>
        <v>43191</v>
      </c>
      <c r="Y8" s="159" t="s">
        <v>355</v>
      </c>
      <c r="Z8" s="301" t="s">
        <v>416</v>
      </c>
      <c r="AA8" s="9" t="s">
        <v>18</v>
      </c>
      <c r="AB8" s="42">
        <f aca="true" t="shared" si="10" ref="AB8:AB14">IF(OR(Z8="",COUNTIF($Z$7:$Z$14,Z8)&gt;1),"エラー","")</f>
      </c>
      <c r="AD8" s="8" t="s">
        <v>26</v>
      </c>
      <c r="AE8" s="8" t="s">
        <v>26</v>
      </c>
      <c r="AF8" s="291" t="s">
        <v>394</v>
      </c>
      <c r="AH8" s="171" t="str">
        <f t="shared" si="0"/>
        <v>D</v>
      </c>
      <c r="AI8" s="230"/>
      <c r="AJ8" s="224"/>
      <c r="AK8" s="173"/>
      <c r="AL8" s="172"/>
      <c r="AM8" s="149" t="str">
        <f>VLOOKUP("DE1",$P$7:$U$69,6,FALSE)</f>
        <v>09</v>
      </c>
      <c r="AN8" s="149" t="str">
        <f>VLOOKUP("DF1",$P$7:$U$69,6,FALSE)</f>
        <v>07</v>
      </c>
      <c r="AO8" s="149" t="str">
        <f>VLOOKUP("DG1",$P$7:$U$69,6,FALSE)</f>
        <v>03</v>
      </c>
      <c r="AP8" s="338" t="e">
        <f>VLOOKUP("DH1",$P$7:$U$69,6,FALSE)</f>
        <v>#N/A</v>
      </c>
    </row>
    <row r="9" spans="1:42" ht="14.25">
      <c r="A9" s="21" t="s">
        <v>370</v>
      </c>
      <c r="B9" s="219">
        <v>43191</v>
      </c>
      <c r="C9" s="152">
        <v>3</v>
      </c>
      <c r="D9" s="497"/>
      <c r="E9" s="504"/>
      <c r="F9" s="330" t="str">
        <f t="shared" si="1"/>
        <v>サンデーズＪｒＢ</v>
      </c>
      <c r="G9" s="201" t="str">
        <f t="shared" si="7"/>
        <v>G</v>
      </c>
      <c r="H9" s="297">
        <v>0</v>
      </c>
      <c r="I9" s="330" t="str">
        <f t="shared" si="2"/>
        <v>クッパーズＪｒ</v>
      </c>
      <c r="J9" s="201" t="str">
        <f t="shared" si="8"/>
        <v>D</v>
      </c>
      <c r="K9" s="297">
        <v>16</v>
      </c>
      <c r="L9" s="201" t="str">
        <f t="shared" si="3"/>
        <v>●</v>
      </c>
      <c r="M9" s="199" t="s">
        <v>310</v>
      </c>
      <c r="N9" s="201" t="str">
        <f t="shared" si="4"/>
        <v>DG</v>
      </c>
      <c r="O9" s="201">
        <f>COUNTIF($N$7:N9,N9)</f>
        <v>1</v>
      </c>
      <c r="P9" s="201" t="str">
        <f t="shared" si="5"/>
        <v>DG1</v>
      </c>
      <c r="Q9" s="201" t="str">
        <f t="shared" si="6"/>
        <v>Y</v>
      </c>
      <c r="R9" s="201" t="str">
        <f>IF(L9="","",IF(Q9="N",L9,VLOOKUP(L9,$Z$21:$AA$23,2,FALSE)))</f>
        <v>○</v>
      </c>
      <c r="S9" s="201">
        <f>IF(L9="","",IF(Q9="N",H9,K9))</f>
        <v>16</v>
      </c>
      <c r="T9" s="201">
        <f>IF(L9="","",IF(Q9="N",K9,H9))</f>
        <v>0</v>
      </c>
      <c r="U9" s="218" t="str">
        <f t="shared" si="9"/>
        <v>03</v>
      </c>
      <c r="V9" s="205" t="str">
        <f aca="true" t="shared" si="11" ref="V9:V62">IF(AND(H9&lt;&gt;"",K9&lt;&gt;""),"0","1")</f>
        <v>0</v>
      </c>
      <c r="W9" s="206">
        <f aca="true" t="shared" si="12" ref="W9:W62">IF(D8&lt;&gt;"",D8,B8)</f>
        <v>43191</v>
      </c>
      <c r="Y9" s="160" t="s">
        <v>356</v>
      </c>
      <c r="Z9" s="301" t="s">
        <v>420</v>
      </c>
      <c r="AA9" s="9" t="s">
        <v>19</v>
      </c>
      <c r="AB9" s="42">
        <f t="shared" si="10"/>
      </c>
      <c r="AD9" s="8" t="s">
        <v>27</v>
      </c>
      <c r="AE9" s="8" t="s">
        <v>27</v>
      </c>
      <c r="AF9" s="291" t="s">
        <v>394</v>
      </c>
      <c r="AH9" s="171" t="str">
        <f t="shared" si="0"/>
        <v>E</v>
      </c>
      <c r="AI9" s="230"/>
      <c r="AJ9" s="224"/>
      <c r="AK9" s="174"/>
      <c r="AL9" s="173"/>
      <c r="AM9" s="172"/>
      <c r="AN9" s="149" t="str">
        <f>VLOOKUP("EF1",$P$7:$U$69,6,FALSE)</f>
        <v>04</v>
      </c>
      <c r="AO9" s="149">
        <f>VLOOKUP("EG1",$P$7:$U$69,6,FALSE)</f>
        <v>13</v>
      </c>
      <c r="AP9" s="338" t="e">
        <f>VLOOKUP("EH1",$P$7:$U$69,6,FALSE)</f>
        <v>#N/A</v>
      </c>
    </row>
    <row r="10" spans="1:42" ht="14.25">
      <c r="A10" s="21" t="s">
        <v>371</v>
      </c>
      <c r="B10" s="219">
        <v>43191</v>
      </c>
      <c r="C10" s="152">
        <v>4</v>
      </c>
      <c r="D10" s="497"/>
      <c r="E10" s="504"/>
      <c r="F10" s="330" t="str">
        <f t="shared" si="1"/>
        <v>パイレーツ</v>
      </c>
      <c r="G10" s="201" t="str">
        <f t="shared" si="7"/>
        <v>E</v>
      </c>
      <c r="H10" s="297">
        <v>13</v>
      </c>
      <c r="I10" s="330" t="str">
        <f t="shared" si="2"/>
        <v>ベアーズ</v>
      </c>
      <c r="J10" s="201" t="str">
        <f t="shared" si="8"/>
        <v>F</v>
      </c>
      <c r="K10" s="297">
        <v>3</v>
      </c>
      <c r="L10" s="201" t="str">
        <f t="shared" si="3"/>
        <v>○</v>
      </c>
      <c r="M10" s="199" t="s">
        <v>445</v>
      </c>
      <c r="N10" s="201" t="str">
        <f t="shared" si="4"/>
        <v>EF</v>
      </c>
      <c r="O10" s="201">
        <f>COUNTIF($N$7:N10,N10)</f>
        <v>1</v>
      </c>
      <c r="P10" s="201" t="str">
        <f t="shared" si="5"/>
        <v>EF1</v>
      </c>
      <c r="Q10" s="201" t="str">
        <f t="shared" si="6"/>
        <v>N</v>
      </c>
      <c r="R10" s="201" t="str">
        <f aca="true" t="shared" si="13" ref="R10:R62">IF(L10="","",IF(Q10="N",L10,VLOOKUP(L10,$Z$21:$AA$23,2,FALSE)))</f>
        <v>○</v>
      </c>
      <c r="S10" s="201">
        <f aca="true" t="shared" si="14" ref="S10:S62">IF(L10="","",IF(Q10="N",H10,K10))</f>
        <v>13</v>
      </c>
      <c r="T10" s="201">
        <f aca="true" t="shared" si="15" ref="T10:T62">IF(L10="","",IF(Q10="N",K10,H10))</f>
        <v>3</v>
      </c>
      <c r="U10" s="218" t="str">
        <f t="shared" si="9"/>
        <v>04</v>
      </c>
      <c r="V10" s="205" t="str">
        <f t="shared" si="11"/>
        <v>0</v>
      </c>
      <c r="W10" s="206">
        <f t="shared" si="12"/>
        <v>43191</v>
      </c>
      <c r="Y10" s="161" t="s">
        <v>357</v>
      </c>
      <c r="Z10" s="300" t="s">
        <v>421</v>
      </c>
      <c r="AA10" s="9" t="s">
        <v>20</v>
      </c>
      <c r="AB10" s="42">
        <f t="shared" si="10"/>
      </c>
      <c r="AD10" s="8" t="s">
        <v>28</v>
      </c>
      <c r="AE10" s="8" t="s">
        <v>28</v>
      </c>
      <c r="AF10" s="291" t="s">
        <v>394</v>
      </c>
      <c r="AH10" s="171" t="str">
        <f t="shared" si="0"/>
        <v>F</v>
      </c>
      <c r="AI10" s="230"/>
      <c r="AJ10" s="224"/>
      <c r="AK10" s="174"/>
      <c r="AL10" s="174"/>
      <c r="AM10" s="173"/>
      <c r="AN10" s="172"/>
      <c r="AO10" s="149">
        <f>VLOOKUP("FG1",$P$7:$U$69,6,FALSE)</f>
        <v>12</v>
      </c>
      <c r="AP10" s="338" t="e">
        <f>VLOOKUP("FH1",$P$7:$U$69,6,FALSE)</f>
        <v>#N/A</v>
      </c>
    </row>
    <row r="11" spans="1:42" ht="14.25">
      <c r="A11" s="21" t="s">
        <v>372</v>
      </c>
      <c r="B11" s="151">
        <v>43198</v>
      </c>
      <c r="C11" s="220">
        <v>1</v>
      </c>
      <c r="D11" s="498"/>
      <c r="E11" s="504"/>
      <c r="F11" s="330" t="str">
        <f t="shared" si="1"/>
        <v>ファイターズＢ</v>
      </c>
      <c r="G11" s="201" t="str">
        <f t="shared" si="7"/>
        <v>C</v>
      </c>
      <c r="H11" s="297">
        <v>6</v>
      </c>
      <c r="I11" s="330" t="str">
        <f t="shared" si="2"/>
        <v>クッパーズＪｒ</v>
      </c>
      <c r="J11" s="201" t="str">
        <f t="shared" si="8"/>
        <v>D</v>
      </c>
      <c r="K11" s="297">
        <v>7</v>
      </c>
      <c r="L11" s="201" t="str">
        <f t="shared" si="3"/>
        <v>●</v>
      </c>
      <c r="M11" s="199" t="s">
        <v>455</v>
      </c>
      <c r="N11" s="201" t="str">
        <f t="shared" si="4"/>
        <v>CD</v>
      </c>
      <c r="O11" s="201">
        <f>COUNTIF($N$7:N11,N11)</f>
        <v>1</v>
      </c>
      <c r="P11" s="201" t="str">
        <f t="shared" si="5"/>
        <v>CD1</v>
      </c>
      <c r="Q11" s="201" t="str">
        <f t="shared" si="6"/>
        <v>N</v>
      </c>
      <c r="R11" s="201" t="str">
        <f t="shared" si="13"/>
        <v>●</v>
      </c>
      <c r="S11" s="201">
        <f t="shared" si="14"/>
        <v>6</v>
      </c>
      <c r="T11" s="201">
        <f t="shared" si="15"/>
        <v>7</v>
      </c>
      <c r="U11" s="218" t="str">
        <f t="shared" si="9"/>
        <v>05</v>
      </c>
      <c r="V11" s="205" t="str">
        <f t="shared" si="11"/>
        <v>0</v>
      </c>
      <c r="W11" s="206">
        <f t="shared" si="12"/>
        <v>43191</v>
      </c>
      <c r="Y11" s="162" t="s">
        <v>358</v>
      </c>
      <c r="Z11" s="300" t="s">
        <v>418</v>
      </c>
      <c r="AA11" s="9" t="s">
        <v>21</v>
      </c>
      <c r="AB11" s="42">
        <f t="shared" si="10"/>
      </c>
      <c r="AD11" s="8" t="s">
        <v>278</v>
      </c>
      <c r="AE11" s="8" t="s">
        <v>278</v>
      </c>
      <c r="AF11" s="291" t="s">
        <v>394</v>
      </c>
      <c r="AH11" s="171" t="str">
        <f t="shared" si="0"/>
        <v>G</v>
      </c>
      <c r="AI11" s="230"/>
      <c r="AJ11" s="224"/>
      <c r="AK11" s="174"/>
      <c r="AL11" s="174"/>
      <c r="AM11" s="174"/>
      <c r="AN11" s="173"/>
      <c r="AO11" s="172"/>
      <c r="AP11" s="338" t="e">
        <f>VLOOKUP("GH1",$P$7:$U$69,6,FALSE)</f>
        <v>#N/A</v>
      </c>
    </row>
    <row r="12" spans="1:42" ht="15" thickBot="1">
      <c r="A12" s="21" t="s">
        <v>373</v>
      </c>
      <c r="B12" s="151">
        <v>43198</v>
      </c>
      <c r="C12" s="152">
        <v>2</v>
      </c>
      <c r="D12" s="498"/>
      <c r="E12" s="504"/>
      <c r="F12" s="330" t="str">
        <f t="shared" si="1"/>
        <v>ファイターズＡ</v>
      </c>
      <c r="G12" s="201" t="str">
        <f t="shared" si="7"/>
        <v>A</v>
      </c>
      <c r="H12" s="297">
        <v>11</v>
      </c>
      <c r="I12" s="330" t="str">
        <f t="shared" si="2"/>
        <v>パイレーツ</v>
      </c>
      <c r="J12" s="201" t="str">
        <f t="shared" si="8"/>
        <v>E</v>
      </c>
      <c r="K12" s="297">
        <v>3</v>
      </c>
      <c r="L12" s="201" t="str">
        <f t="shared" si="3"/>
        <v>○</v>
      </c>
      <c r="M12" s="199" t="s">
        <v>452</v>
      </c>
      <c r="N12" s="201" t="str">
        <f t="shared" si="4"/>
        <v>AE</v>
      </c>
      <c r="O12" s="201">
        <f>COUNTIF($N$7:N12,N12)</f>
        <v>1</v>
      </c>
      <c r="P12" s="201" t="str">
        <f t="shared" si="5"/>
        <v>AE1</v>
      </c>
      <c r="Q12" s="201" t="str">
        <f t="shared" si="6"/>
        <v>N</v>
      </c>
      <c r="R12" s="201" t="str">
        <f t="shared" si="13"/>
        <v>○</v>
      </c>
      <c r="S12" s="201">
        <f t="shared" si="14"/>
        <v>11</v>
      </c>
      <c r="T12" s="201">
        <f t="shared" si="15"/>
        <v>3</v>
      </c>
      <c r="U12" s="218" t="str">
        <f t="shared" si="9"/>
        <v>06</v>
      </c>
      <c r="V12" s="205" t="str">
        <f t="shared" si="11"/>
        <v>0</v>
      </c>
      <c r="W12" s="206">
        <f t="shared" si="12"/>
        <v>43198</v>
      </c>
      <c r="Y12" s="163" t="s">
        <v>275</v>
      </c>
      <c r="Z12" s="301" t="s">
        <v>419</v>
      </c>
      <c r="AA12" s="9" t="s">
        <v>275</v>
      </c>
      <c r="AB12" s="42">
        <f t="shared" si="10"/>
      </c>
      <c r="AD12" s="174" t="s">
        <v>279</v>
      </c>
      <c r="AE12" s="174" t="s">
        <v>279</v>
      </c>
      <c r="AF12" s="315" t="s">
        <v>394</v>
      </c>
      <c r="AH12" s="215" t="str">
        <f t="shared" si="0"/>
        <v>H</v>
      </c>
      <c r="AI12" s="231"/>
      <c r="AJ12" s="225"/>
      <c r="AK12" s="176"/>
      <c r="AL12" s="176"/>
      <c r="AM12" s="176"/>
      <c r="AN12" s="176"/>
      <c r="AO12" s="176"/>
      <c r="AP12" s="339"/>
    </row>
    <row r="13" spans="1:32" ht="14.25">
      <c r="A13" s="21" t="s">
        <v>374</v>
      </c>
      <c r="B13" s="151">
        <v>43198</v>
      </c>
      <c r="C13" s="152">
        <v>3</v>
      </c>
      <c r="D13" s="498"/>
      <c r="E13" s="505"/>
      <c r="F13" s="330" t="str">
        <f t="shared" si="1"/>
        <v>クッパーズＪｒ</v>
      </c>
      <c r="G13" s="201" t="str">
        <f t="shared" si="7"/>
        <v>D</v>
      </c>
      <c r="H13" s="297">
        <v>10</v>
      </c>
      <c r="I13" s="330" t="str">
        <f t="shared" si="2"/>
        <v>ベアーズ</v>
      </c>
      <c r="J13" s="201" t="str">
        <f t="shared" si="8"/>
        <v>F</v>
      </c>
      <c r="K13" s="297">
        <v>0</v>
      </c>
      <c r="L13" s="201" t="str">
        <f aca="true" t="shared" si="16" ref="L13:L62">IF(H13="","",IF(H13=K13,"△",IF(H13&gt;K13,"○","●")))</f>
        <v>○</v>
      </c>
      <c r="M13" s="199" t="s">
        <v>448</v>
      </c>
      <c r="N13" s="201" t="str">
        <f t="shared" si="4"/>
        <v>DF</v>
      </c>
      <c r="O13" s="201">
        <f>COUNTIF($N$7:N13,N13)</f>
        <v>1</v>
      </c>
      <c r="P13" s="201" t="str">
        <f t="shared" si="5"/>
        <v>DF1</v>
      </c>
      <c r="Q13" s="201" t="str">
        <f t="shared" si="6"/>
        <v>N</v>
      </c>
      <c r="R13" s="201" t="str">
        <f t="shared" si="13"/>
        <v>○</v>
      </c>
      <c r="S13" s="201">
        <f t="shared" si="14"/>
        <v>10</v>
      </c>
      <c r="T13" s="201">
        <f t="shared" si="15"/>
        <v>0</v>
      </c>
      <c r="U13" s="218" t="str">
        <f t="shared" si="9"/>
        <v>07</v>
      </c>
      <c r="V13" s="205" t="str">
        <f t="shared" si="11"/>
        <v>0</v>
      </c>
      <c r="W13" s="206">
        <f t="shared" si="12"/>
        <v>43198</v>
      </c>
      <c r="Y13" s="203" t="s">
        <v>359</v>
      </c>
      <c r="Z13" s="301" t="s">
        <v>417</v>
      </c>
      <c r="AA13" s="9" t="s">
        <v>276</v>
      </c>
      <c r="AB13" s="42">
        <f t="shared" si="10"/>
      </c>
      <c r="AD13" s="8" t="s">
        <v>280</v>
      </c>
      <c r="AE13" s="8" t="s">
        <v>283</v>
      </c>
      <c r="AF13" s="292" t="s">
        <v>396</v>
      </c>
    </row>
    <row r="14" spans="1:42" ht="15" thickBot="1">
      <c r="A14" s="21" t="s">
        <v>375</v>
      </c>
      <c r="B14" s="151">
        <v>43198</v>
      </c>
      <c r="C14" s="152">
        <v>4</v>
      </c>
      <c r="D14" s="498"/>
      <c r="E14" s="505"/>
      <c r="F14" s="330" t="str">
        <f t="shared" si="1"/>
        <v>サンデーズＪｒＢ</v>
      </c>
      <c r="G14" s="201" t="str">
        <f t="shared" si="7"/>
        <v>G</v>
      </c>
      <c r="H14" s="297">
        <v>0</v>
      </c>
      <c r="I14" s="330" t="str">
        <f t="shared" si="2"/>
        <v>サンデーズＪｒＡ</v>
      </c>
      <c r="J14" s="201" t="str">
        <f t="shared" si="8"/>
        <v>B</v>
      </c>
      <c r="K14" s="297">
        <v>20</v>
      </c>
      <c r="L14" s="201" t="str">
        <f t="shared" si="16"/>
        <v>●</v>
      </c>
      <c r="M14" s="199" t="s">
        <v>446</v>
      </c>
      <c r="N14" s="201" t="str">
        <f t="shared" si="4"/>
        <v>BG</v>
      </c>
      <c r="O14" s="201">
        <f>COUNTIF($N$7:N14,N14)</f>
        <v>1</v>
      </c>
      <c r="P14" s="201" t="str">
        <f t="shared" si="5"/>
        <v>BG1</v>
      </c>
      <c r="Q14" s="201" t="str">
        <f t="shared" si="6"/>
        <v>Y</v>
      </c>
      <c r="R14" s="201" t="str">
        <f t="shared" si="13"/>
        <v>○</v>
      </c>
      <c r="S14" s="201">
        <f t="shared" si="14"/>
        <v>20</v>
      </c>
      <c r="T14" s="201">
        <f t="shared" si="15"/>
        <v>0</v>
      </c>
      <c r="U14" s="218" t="str">
        <f t="shared" si="9"/>
        <v>08</v>
      </c>
      <c r="V14" s="205" t="str">
        <f t="shared" si="11"/>
        <v>0</v>
      </c>
      <c r="W14" s="206">
        <f t="shared" si="12"/>
        <v>43198</v>
      </c>
      <c r="Y14" s="164" t="s">
        <v>360</v>
      </c>
      <c r="Z14" s="302" t="s">
        <v>413</v>
      </c>
      <c r="AA14" s="15" t="s">
        <v>277</v>
      </c>
      <c r="AB14" s="42">
        <f t="shared" si="10"/>
      </c>
      <c r="AD14" s="8" t="s">
        <v>29</v>
      </c>
      <c r="AE14" s="8" t="s">
        <v>29</v>
      </c>
      <c r="AF14" s="291" t="s">
        <v>394</v>
      </c>
      <c r="AH14" s="165" t="s">
        <v>363</v>
      </c>
      <c r="AI14" s="166" t="s">
        <v>410</v>
      </c>
      <c r="AJ14" s="3"/>
      <c r="AK14" s="167"/>
      <c r="AL14" s="167"/>
      <c r="AM14" s="167" t="s">
        <v>366</v>
      </c>
      <c r="AN14" s="3"/>
      <c r="AO14" s="3"/>
      <c r="AP14" s="3"/>
    </row>
    <row r="15" spans="1:42" ht="15" thickBot="1">
      <c r="A15" s="21" t="s">
        <v>376</v>
      </c>
      <c r="B15" s="151">
        <v>43205</v>
      </c>
      <c r="C15" s="220">
        <v>1</v>
      </c>
      <c r="D15" s="58">
        <v>43212</v>
      </c>
      <c r="E15" s="1">
        <v>2</v>
      </c>
      <c r="F15" s="330" t="str">
        <f t="shared" si="1"/>
        <v>クッパーズＪｒ</v>
      </c>
      <c r="G15" s="201" t="str">
        <f t="shared" si="7"/>
        <v>D</v>
      </c>
      <c r="H15" s="297">
        <v>11</v>
      </c>
      <c r="I15" s="330" t="str">
        <f t="shared" si="2"/>
        <v>パイレーツ</v>
      </c>
      <c r="J15" s="201" t="str">
        <f t="shared" si="8"/>
        <v>E</v>
      </c>
      <c r="K15" s="297">
        <v>1</v>
      </c>
      <c r="L15" s="201" t="str">
        <f t="shared" si="16"/>
        <v>○</v>
      </c>
      <c r="M15" s="199" t="s">
        <v>450</v>
      </c>
      <c r="N15" s="201" t="str">
        <f t="shared" si="4"/>
        <v>DE</v>
      </c>
      <c r="O15" s="201">
        <f>COUNTIF($N$7:N15,N15)</f>
        <v>1</v>
      </c>
      <c r="P15" s="201" t="str">
        <f t="shared" si="5"/>
        <v>DE1</v>
      </c>
      <c r="Q15" s="201" t="str">
        <f t="shared" si="6"/>
        <v>N</v>
      </c>
      <c r="R15" s="201" t="str">
        <f t="shared" si="13"/>
        <v>○</v>
      </c>
      <c r="S15" s="201">
        <f t="shared" si="14"/>
        <v>11</v>
      </c>
      <c r="T15" s="201">
        <f t="shared" si="15"/>
        <v>1</v>
      </c>
      <c r="U15" s="218" t="str">
        <f t="shared" si="9"/>
        <v>09</v>
      </c>
      <c r="V15" s="205" t="str">
        <f t="shared" si="11"/>
        <v>0</v>
      </c>
      <c r="W15" s="206">
        <f t="shared" si="12"/>
        <v>43198</v>
      </c>
      <c r="AD15" s="8" t="s">
        <v>30</v>
      </c>
      <c r="AE15" s="8" t="s">
        <v>30</v>
      </c>
      <c r="AF15" s="291" t="s">
        <v>394</v>
      </c>
      <c r="AH15" s="168"/>
      <c r="AI15" s="214" t="str">
        <f>AI4</f>
        <v>A</v>
      </c>
      <c r="AJ15" s="170" t="str">
        <f aca="true" t="shared" si="17" ref="AJ15:AP15">AJ4</f>
        <v>B</v>
      </c>
      <c r="AK15" s="170" t="str">
        <f t="shared" si="17"/>
        <v>C</v>
      </c>
      <c r="AL15" s="170" t="str">
        <f t="shared" si="17"/>
        <v>D</v>
      </c>
      <c r="AM15" s="170" t="str">
        <f t="shared" si="17"/>
        <v>E</v>
      </c>
      <c r="AN15" s="170" t="str">
        <f t="shared" si="17"/>
        <v>F</v>
      </c>
      <c r="AO15" s="170" t="str">
        <f t="shared" si="17"/>
        <v>G</v>
      </c>
      <c r="AP15" s="340" t="str">
        <f t="shared" si="17"/>
        <v>H</v>
      </c>
    </row>
    <row r="16" spans="1:42" ht="14.25">
      <c r="A16" s="21">
        <f aca="true" t="shared" si="18" ref="A16:A69">A15+1</f>
        <v>10</v>
      </c>
      <c r="B16" s="151">
        <v>43205</v>
      </c>
      <c r="C16" s="152">
        <v>2</v>
      </c>
      <c r="D16" s="58">
        <v>43212</v>
      </c>
      <c r="E16" s="1">
        <v>1</v>
      </c>
      <c r="F16" s="330" t="str">
        <f t="shared" si="1"/>
        <v>ベアーズ</v>
      </c>
      <c r="G16" s="201" t="str">
        <f t="shared" si="7"/>
        <v>F</v>
      </c>
      <c r="H16" s="297">
        <v>4</v>
      </c>
      <c r="I16" s="330" t="str">
        <f t="shared" si="2"/>
        <v>ファイターズＡ</v>
      </c>
      <c r="J16" s="201" t="str">
        <f t="shared" si="8"/>
        <v>A</v>
      </c>
      <c r="K16" s="297">
        <v>22</v>
      </c>
      <c r="L16" s="201" t="str">
        <f t="shared" si="16"/>
        <v>●</v>
      </c>
      <c r="M16" s="199" t="s">
        <v>469</v>
      </c>
      <c r="N16" s="201" t="str">
        <f t="shared" si="4"/>
        <v>AF</v>
      </c>
      <c r="O16" s="201">
        <f>COUNTIF($N$7:N16,N16)</f>
        <v>1</v>
      </c>
      <c r="P16" s="201" t="str">
        <f t="shared" si="5"/>
        <v>AF1</v>
      </c>
      <c r="Q16" s="201" t="str">
        <f t="shared" si="6"/>
        <v>Y</v>
      </c>
      <c r="R16" s="201" t="str">
        <f t="shared" si="13"/>
        <v>○</v>
      </c>
      <c r="S16" s="201">
        <f t="shared" si="14"/>
        <v>22</v>
      </c>
      <c r="T16" s="201">
        <f t="shared" si="15"/>
        <v>4</v>
      </c>
      <c r="U16" s="218">
        <f t="shared" si="9"/>
        <v>10</v>
      </c>
      <c r="V16" s="205" t="str">
        <f t="shared" si="11"/>
        <v>0</v>
      </c>
      <c r="W16" s="206">
        <f t="shared" si="12"/>
        <v>43212</v>
      </c>
      <c r="AD16" s="8" t="s">
        <v>31</v>
      </c>
      <c r="AE16" s="8" t="s">
        <v>31</v>
      </c>
      <c r="AF16" s="291" t="s">
        <v>394</v>
      </c>
      <c r="AH16" s="171" t="str">
        <f>AH5</f>
        <v>A</v>
      </c>
      <c r="AI16" s="226"/>
      <c r="AJ16" s="149">
        <f>VLOOKUP("AB2",$P$7:$U$69,6,FALSE)</f>
        <v>23</v>
      </c>
      <c r="AK16" s="149">
        <f>VLOOKUP("AC2",$P$7:$U$69,6,FALSE)</f>
        <v>30</v>
      </c>
      <c r="AL16" s="149">
        <f>VLOOKUP("AD2",$P$7:$U$69,6,FALSE)</f>
        <v>36</v>
      </c>
      <c r="AM16" s="149">
        <f>VLOOKUP("AE2",$P$7:$U$69,6,FALSE)</f>
        <v>26</v>
      </c>
      <c r="AN16" s="149">
        <f>VLOOKUP("AF2",$P$7:$U$69,6,FALSE)</f>
        <v>42</v>
      </c>
      <c r="AO16" s="149">
        <f>VLOOKUP("AG2",$P$7:$U$69,6,FALSE)</f>
        <v>40</v>
      </c>
      <c r="AP16" s="341" t="e">
        <f>VLOOKUP("AH2",$P$7:$U$69,6,FALSE)</f>
        <v>#N/A</v>
      </c>
    </row>
    <row r="17" spans="1:42" ht="14.25">
      <c r="A17" s="21">
        <f t="shared" si="18"/>
        <v>11</v>
      </c>
      <c r="B17" s="151">
        <v>43205</v>
      </c>
      <c r="C17" s="152">
        <v>3</v>
      </c>
      <c r="D17" s="58">
        <v>43212</v>
      </c>
      <c r="E17" s="1">
        <v>4</v>
      </c>
      <c r="F17" s="330" t="str">
        <f t="shared" si="1"/>
        <v>サンデーズＪｒＡ</v>
      </c>
      <c r="G17" s="201" t="str">
        <f t="shared" si="7"/>
        <v>B</v>
      </c>
      <c r="H17" s="297">
        <v>9</v>
      </c>
      <c r="I17" s="330" t="str">
        <f t="shared" si="2"/>
        <v>ファイターズＢ</v>
      </c>
      <c r="J17" s="201" t="str">
        <f t="shared" si="8"/>
        <v>C</v>
      </c>
      <c r="K17" s="297">
        <v>1</v>
      </c>
      <c r="L17" s="201" t="str">
        <f t="shared" si="16"/>
        <v>○</v>
      </c>
      <c r="M17" s="199" t="s">
        <v>453</v>
      </c>
      <c r="N17" s="201" t="str">
        <f t="shared" si="4"/>
        <v>BC</v>
      </c>
      <c r="O17" s="201">
        <f>COUNTIF($N$7:N17,N17)</f>
        <v>1</v>
      </c>
      <c r="P17" s="201" t="str">
        <f t="shared" si="5"/>
        <v>BC1</v>
      </c>
      <c r="Q17" s="201" t="str">
        <f t="shared" si="6"/>
        <v>N</v>
      </c>
      <c r="R17" s="201" t="str">
        <f t="shared" si="13"/>
        <v>○</v>
      </c>
      <c r="S17" s="201">
        <f t="shared" si="14"/>
        <v>9</v>
      </c>
      <c r="T17" s="201">
        <f t="shared" si="15"/>
        <v>1</v>
      </c>
      <c r="U17" s="218">
        <f t="shared" si="9"/>
        <v>11</v>
      </c>
      <c r="V17" s="205" t="str">
        <f t="shared" si="11"/>
        <v>0</v>
      </c>
      <c r="W17" s="206">
        <f t="shared" si="12"/>
        <v>43212</v>
      </c>
      <c r="AD17" s="8" t="s">
        <v>32</v>
      </c>
      <c r="AE17" s="8" t="s">
        <v>32</v>
      </c>
      <c r="AF17" s="291" t="s">
        <v>394</v>
      </c>
      <c r="AH17" s="171" t="str">
        <f aca="true" t="shared" si="19" ref="AH17:AH23">AH6</f>
        <v>B</v>
      </c>
      <c r="AI17" s="227"/>
      <c r="AJ17" s="172"/>
      <c r="AK17" s="149">
        <f>VLOOKUP("BC2",$P$7:$U$69,6,FALSE)</f>
        <v>33</v>
      </c>
      <c r="AL17" s="149">
        <f>VLOOKUP("BD2",$P$7:$U$69,6,FALSE)</f>
        <v>25</v>
      </c>
      <c r="AM17" s="149">
        <f>VLOOKUP("BE2",$P$7:$U$69,6,FALSE)</f>
        <v>37</v>
      </c>
      <c r="AN17" s="149">
        <f>VLOOKUP("BF2",$P$7:$U$69,6,FALSE)</f>
        <v>35</v>
      </c>
      <c r="AO17" s="149">
        <f>VLOOKUP("BG2",$P$7:$U$69,6,FALSE)</f>
        <v>29</v>
      </c>
      <c r="AP17" s="341" t="e">
        <f>VLOOKUP("BH2",$P$7:$U$69,6,FALSE)</f>
        <v>#N/A</v>
      </c>
    </row>
    <row r="18" spans="1:42" ht="14.25">
      <c r="A18" s="21">
        <f t="shared" si="18"/>
        <v>12</v>
      </c>
      <c r="B18" s="151">
        <v>43205</v>
      </c>
      <c r="C18" s="152">
        <v>4</v>
      </c>
      <c r="D18" s="58">
        <v>43212</v>
      </c>
      <c r="E18" s="1">
        <v>3</v>
      </c>
      <c r="F18" s="330" t="str">
        <f t="shared" si="1"/>
        <v>サンデーズＪｒＢ</v>
      </c>
      <c r="G18" s="201" t="str">
        <f t="shared" si="7"/>
        <v>G</v>
      </c>
      <c r="H18" s="297">
        <v>8</v>
      </c>
      <c r="I18" s="330" t="str">
        <f t="shared" si="2"/>
        <v>ベアーズ</v>
      </c>
      <c r="J18" s="201" t="str">
        <f t="shared" si="8"/>
        <v>F</v>
      </c>
      <c r="K18" s="297">
        <v>9</v>
      </c>
      <c r="L18" s="201" t="str">
        <f t="shared" si="16"/>
        <v>●</v>
      </c>
      <c r="M18" s="199" t="s">
        <v>451</v>
      </c>
      <c r="N18" s="201" t="str">
        <f t="shared" si="4"/>
        <v>FG</v>
      </c>
      <c r="O18" s="201">
        <f>COUNTIF($N$7:N18,N18)</f>
        <v>1</v>
      </c>
      <c r="P18" s="201" t="str">
        <f t="shared" si="5"/>
        <v>FG1</v>
      </c>
      <c r="Q18" s="201" t="str">
        <f t="shared" si="6"/>
        <v>Y</v>
      </c>
      <c r="R18" s="201" t="str">
        <f t="shared" si="13"/>
        <v>○</v>
      </c>
      <c r="S18" s="201">
        <f t="shared" si="14"/>
        <v>9</v>
      </c>
      <c r="T18" s="201">
        <f t="shared" si="15"/>
        <v>8</v>
      </c>
      <c r="U18" s="218">
        <f t="shared" si="9"/>
        <v>12</v>
      </c>
      <c r="V18" s="205" t="str">
        <f t="shared" si="11"/>
        <v>0</v>
      </c>
      <c r="W18" s="206">
        <f t="shared" si="12"/>
        <v>43212</v>
      </c>
      <c r="Z18" s="744" t="s">
        <v>55</v>
      </c>
      <c r="AA18" s="744"/>
      <c r="AD18" s="8" t="s">
        <v>281</v>
      </c>
      <c r="AE18" s="8" t="s">
        <v>281</v>
      </c>
      <c r="AF18" s="291" t="s">
        <v>394</v>
      </c>
      <c r="AH18" s="171" t="str">
        <f t="shared" si="19"/>
        <v>C</v>
      </c>
      <c r="AI18" s="227"/>
      <c r="AJ18" s="173"/>
      <c r="AK18" s="172"/>
      <c r="AL18" s="149">
        <f>VLOOKUP("CD2",$P$7:$U$69,6,FALSE)</f>
        <v>22</v>
      </c>
      <c r="AM18" s="149">
        <f>VLOOKUP("CE2",$P$7:$U$69,6,FALSE)</f>
        <v>41</v>
      </c>
      <c r="AN18" s="149">
        <f>VLOOKUP("CF2",$P$7:$U$69,6,FALSE)</f>
        <v>39</v>
      </c>
      <c r="AO18" s="149">
        <f>VLOOKUP("CG2",$P$7:$U$69,6,FALSE)</f>
        <v>28</v>
      </c>
      <c r="AP18" s="341" t="e">
        <f>VLOOKUP("CH2",$P$7:$U$69,6,FALSE)</f>
        <v>#N/A</v>
      </c>
    </row>
    <row r="19" spans="1:42" ht="15" thickBot="1">
      <c r="A19" s="21">
        <f t="shared" si="18"/>
        <v>13</v>
      </c>
      <c r="B19" s="151">
        <v>43212</v>
      </c>
      <c r="C19" s="220">
        <v>1</v>
      </c>
      <c r="D19" s="58">
        <v>43226</v>
      </c>
      <c r="E19" s="1">
        <v>2</v>
      </c>
      <c r="F19" s="330" t="str">
        <f t="shared" si="1"/>
        <v>サンデーズＪｒＢ</v>
      </c>
      <c r="G19" s="201" t="str">
        <f t="shared" si="7"/>
        <v>G</v>
      </c>
      <c r="H19" s="297">
        <v>1</v>
      </c>
      <c r="I19" s="330" t="str">
        <f t="shared" si="2"/>
        <v>パイレーツ</v>
      </c>
      <c r="J19" s="201" t="str">
        <f t="shared" si="8"/>
        <v>E</v>
      </c>
      <c r="K19" s="297">
        <v>20</v>
      </c>
      <c r="L19" s="201" t="str">
        <f t="shared" si="16"/>
        <v>●</v>
      </c>
      <c r="M19" s="199" t="s">
        <v>456</v>
      </c>
      <c r="N19" s="201" t="str">
        <f t="shared" si="4"/>
        <v>EG</v>
      </c>
      <c r="O19" s="201">
        <f>COUNTIF($N$7:N19,N19)</f>
        <v>1</v>
      </c>
      <c r="P19" s="201" t="str">
        <f t="shared" si="5"/>
        <v>EG1</v>
      </c>
      <c r="Q19" s="201" t="str">
        <f t="shared" si="6"/>
        <v>Y</v>
      </c>
      <c r="R19" s="201" t="str">
        <f t="shared" si="13"/>
        <v>○</v>
      </c>
      <c r="S19" s="201">
        <f t="shared" si="14"/>
        <v>20</v>
      </c>
      <c r="T19" s="201">
        <f t="shared" si="15"/>
        <v>1</v>
      </c>
      <c r="U19" s="218">
        <f t="shared" si="9"/>
        <v>13</v>
      </c>
      <c r="V19" s="205" t="str">
        <f t="shared" si="11"/>
        <v>0</v>
      </c>
      <c r="W19" s="206">
        <f t="shared" si="12"/>
        <v>43212</v>
      </c>
      <c r="Z19" s="41"/>
      <c r="AA19" s="41"/>
      <c r="AD19" s="174" t="s">
        <v>282</v>
      </c>
      <c r="AE19" s="174" t="s">
        <v>282</v>
      </c>
      <c r="AF19" s="315" t="s">
        <v>394</v>
      </c>
      <c r="AH19" s="171" t="str">
        <f t="shared" si="19"/>
        <v>D</v>
      </c>
      <c r="AI19" s="227"/>
      <c r="AJ19" s="174"/>
      <c r="AK19" s="173"/>
      <c r="AL19" s="172"/>
      <c r="AM19" s="149">
        <f>VLOOKUP("DE2",$P$7:$U$69,6,FALSE)</f>
        <v>32</v>
      </c>
      <c r="AN19" s="149">
        <f>VLOOKUP("DF2",$P$7:$U$69,6,FALSE)</f>
        <v>27</v>
      </c>
      <c r="AO19" s="149">
        <f>VLOOKUP("DG2",$P$7:$U$69,6,FALSE)</f>
        <v>38</v>
      </c>
      <c r="AP19" s="341" t="e">
        <f>VLOOKUP("DH2",$P$7:$U$69,6,FALSE)</f>
        <v>#N/A</v>
      </c>
    </row>
    <row r="20" spans="1:42" ht="15" thickBot="1">
      <c r="A20" s="21">
        <f t="shared" si="18"/>
        <v>14</v>
      </c>
      <c r="B20" s="151">
        <v>43212</v>
      </c>
      <c r="C20" s="152">
        <v>2</v>
      </c>
      <c r="D20" s="58">
        <v>43226</v>
      </c>
      <c r="E20" s="1">
        <v>3</v>
      </c>
      <c r="F20" s="330" t="str">
        <f t="shared" si="1"/>
        <v>ベアーズ</v>
      </c>
      <c r="G20" s="201" t="str">
        <f t="shared" si="7"/>
        <v>F</v>
      </c>
      <c r="H20" s="297">
        <v>1</v>
      </c>
      <c r="I20" s="330" t="str">
        <f t="shared" si="2"/>
        <v>サンデーズＪｒＡ</v>
      </c>
      <c r="J20" s="201" t="str">
        <f t="shared" si="8"/>
        <v>B</v>
      </c>
      <c r="K20" s="297">
        <v>19</v>
      </c>
      <c r="L20" s="201" t="str">
        <f t="shared" si="16"/>
        <v>●</v>
      </c>
      <c r="M20" s="199" t="s">
        <v>476</v>
      </c>
      <c r="N20" s="201" t="str">
        <f t="shared" si="4"/>
        <v>BF</v>
      </c>
      <c r="O20" s="201">
        <f>COUNTIF($N$7:N20,N20)</f>
        <v>1</v>
      </c>
      <c r="P20" s="201" t="str">
        <f t="shared" si="5"/>
        <v>BF1</v>
      </c>
      <c r="Q20" s="201" t="str">
        <f t="shared" si="6"/>
        <v>Y</v>
      </c>
      <c r="R20" s="201" t="str">
        <f t="shared" si="13"/>
        <v>○</v>
      </c>
      <c r="S20" s="201">
        <f t="shared" si="14"/>
        <v>19</v>
      </c>
      <c r="T20" s="201">
        <f t="shared" si="15"/>
        <v>1</v>
      </c>
      <c r="U20" s="218">
        <f t="shared" si="9"/>
        <v>14</v>
      </c>
      <c r="V20" s="205" t="str">
        <f t="shared" si="11"/>
        <v>0</v>
      </c>
      <c r="W20" s="206">
        <f t="shared" si="12"/>
        <v>43226</v>
      </c>
      <c r="Z20" s="211" t="s">
        <v>57</v>
      </c>
      <c r="AA20" s="212" t="s">
        <v>58</v>
      </c>
      <c r="AD20" s="8" t="s">
        <v>284</v>
      </c>
      <c r="AE20" s="8" t="s">
        <v>289</v>
      </c>
      <c r="AF20" s="292" t="s">
        <v>395</v>
      </c>
      <c r="AH20" s="171" t="str">
        <f t="shared" si="19"/>
        <v>E</v>
      </c>
      <c r="AI20" s="227"/>
      <c r="AJ20" s="174"/>
      <c r="AK20" s="174"/>
      <c r="AL20" s="173"/>
      <c r="AM20" s="172"/>
      <c r="AN20" s="149">
        <f>VLOOKUP("EF2",$P$7:$U$69,6,FALSE)</f>
        <v>24</v>
      </c>
      <c r="AO20" s="149">
        <f>VLOOKUP("EG2",$P$7:$U$69,6,FALSE)</f>
        <v>34</v>
      </c>
      <c r="AP20" s="341" t="e">
        <f>VLOOKUP("EH2",$P$7:$U$69,6,FALSE)</f>
        <v>#N/A</v>
      </c>
    </row>
    <row r="21" spans="1:42" ht="14.25">
      <c r="A21" s="21">
        <f t="shared" si="18"/>
        <v>15</v>
      </c>
      <c r="B21" s="151">
        <v>43212</v>
      </c>
      <c r="C21" s="152">
        <v>3</v>
      </c>
      <c r="D21" s="58">
        <v>43226</v>
      </c>
      <c r="E21" s="1">
        <v>4</v>
      </c>
      <c r="F21" s="330" t="str">
        <f t="shared" si="1"/>
        <v>パイレーツ</v>
      </c>
      <c r="G21" s="201" t="str">
        <f t="shared" si="7"/>
        <v>E</v>
      </c>
      <c r="H21" s="297">
        <v>2</v>
      </c>
      <c r="I21" s="330" t="str">
        <f t="shared" si="2"/>
        <v>ファイターズＢ</v>
      </c>
      <c r="J21" s="201" t="str">
        <f t="shared" si="8"/>
        <v>C</v>
      </c>
      <c r="K21" s="297">
        <v>3</v>
      </c>
      <c r="L21" s="201" t="str">
        <f t="shared" si="16"/>
        <v>●</v>
      </c>
      <c r="M21" s="199" t="s">
        <v>470</v>
      </c>
      <c r="N21" s="201" t="str">
        <f t="shared" si="4"/>
        <v>CE</v>
      </c>
      <c r="O21" s="201">
        <f>COUNTIF($N$7:N21,N21)</f>
        <v>1</v>
      </c>
      <c r="P21" s="201" t="str">
        <f t="shared" si="5"/>
        <v>CE1</v>
      </c>
      <c r="Q21" s="201" t="str">
        <f t="shared" si="6"/>
        <v>Y</v>
      </c>
      <c r="R21" s="201" t="str">
        <f t="shared" si="13"/>
        <v>○</v>
      </c>
      <c r="S21" s="201">
        <f t="shared" si="14"/>
        <v>3</v>
      </c>
      <c r="T21" s="201">
        <f t="shared" si="15"/>
        <v>2</v>
      </c>
      <c r="U21" s="218">
        <f t="shared" si="9"/>
        <v>15</v>
      </c>
      <c r="V21" s="205" t="str">
        <f t="shared" si="11"/>
        <v>0</v>
      </c>
      <c r="W21" s="206">
        <f t="shared" si="12"/>
        <v>43226</v>
      </c>
      <c r="Z21" s="150" t="s">
        <v>52</v>
      </c>
      <c r="AA21" s="143" t="s">
        <v>53</v>
      </c>
      <c r="AD21" s="8" t="s">
        <v>285</v>
      </c>
      <c r="AE21" s="8" t="s">
        <v>29</v>
      </c>
      <c r="AF21" s="292" t="s">
        <v>395</v>
      </c>
      <c r="AH21" s="171" t="str">
        <f t="shared" si="19"/>
        <v>F</v>
      </c>
      <c r="AI21" s="227"/>
      <c r="AJ21" s="174"/>
      <c r="AK21" s="174"/>
      <c r="AL21" s="174"/>
      <c r="AM21" s="173"/>
      <c r="AN21" s="172"/>
      <c r="AO21" s="149">
        <f>VLOOKUP("FG2",$P$7:$U$69,6,FALSE)</f>
        <v>31</v>
      </c>
      <c r="AP21" s="341" t="e">
        <f>VLOOKUP("FH2",$P$7:$U$69,6,FALSE)</f>
        <v>#N/A</v>
      </c>
    </row>
    <row r="22" spans="1:42" ht="14.25">
      <c r="A22" s="21">
        <f t="shared" si="18"/>
        <v>16</v>
      </c>
      <c r="B22" s="151">
        <v>43212</v>
      </c>
      <c r="C22" s="152">
        <v>4</v>
      </c>
      <c r="D22" s="58">
        <v>43226</v>
      </c>
      <c r="E22" s="1">
        <v>1</v>
      </c>
      <c r="F22" s="330" t="str">
        <f t="shared" si="1"/>
        <v>クッパーズＪｒ</v>
      </c>
      <c r="G22" s="201" t="str">
        <f t="shared" si="7"/>
        <v>D</v>
      </c>
      <c r="H22" s="297">
        <v>2</v>
      </c>
      <c r="I22" s="330" t="str">
        <f t="shared" si="2"/>
        <v>ファイターズＡ</v>
      </c>
      <c r="J22" s="201" t="str">
        <f t="shared" si="8"/>
        <v>A</v>
      </c>
      <c r="K22" s="297">
        <v>2</v>
      </c>
      <c r="L22" s="201" t="str">
        <f t="shared" si="16"/>
        <v>△</v>
      </c>
      <c r="M22" s="199" t="s">
        <v>472</v>
      </c>
      <c r="N22" s="201" t="str">
        <f t="shared" si="4"/>
        <v>AD</v>
      </c>
      <c r="O22" s="201">
        <f>COUNTIF($N$7:N22,N22)</f>
        <v>1</v>
      </c>
      <c r="P22" s="201" t="str">
        <f t="shared" si="5"/>
        <v>AD1</v>
      </c>
      <c r="Q22" s="201" t="str">
        <f t="shared" si="6"/>
        <v>Y</v>
      </c>
      <c r="R22" s="201" t="str">
        <f t="shared" si="13"/>
        <v>△</v>
      </c>
      <c r="S22" s="201">
        <f t="shared" si="14"/>
        <v>2</v>
      </c>
      <c r="T22" s="201">
        <f t="shared" si="15"/>
        <v>2</v>
      </c>
      <c r="U22" s="218">
        <f t="shared" si="9"/>
        <v>16</v>
      </c>
      <c r="V22" s="205" t="str">
        <f t="shared" si="11"/>
        <v>0</v>
      </c>
      <c r="W22" s="206">
        <f t="shared" si="12"/>
        <v>43226</v>
      </c>
      <c r="Z22" s="7" t="s">
        <v>56</v>
      </c>
      <c r="AA22" s="9" t="s">
        <v>56</v>
      </c>
      <c r="AD22" s="8" t="s">
        <v>286</v>
      </c>
      <c r="AE22" s="8" t="s">
        <v>286</v>
      </c>
      <c r="AF22" s="291" t="s">
        <v>394</v>
      </c>
      <c r="AH22" s="171" t="str">
        <f t="shared" si="19"/>
        <v>G</v>
      </c>
      <c r="AI22" s="227"/>
      <c r="AJ22" s="174"/>
      <c r="AK22" s="174"/>
      <c r="AL22" s="174"/>
      <c r="AM22" s="174"/>
      <c r="AN22" s="173"/>
      <c r="AO22" s="172"/>
      <c r="AP22" s="341" t="e">
        <f>VLOOKUP("GH2",$P$7:$U$69,6,FALSE)</f>
        <v>#N/A</v>
      </c>
    </row>
    <row r="23" spans="1:42" ht="15" thickBot="1">
      <c r="A23" s="21">
        <f t="shared" si="18"/>
        <v>17</v>
      </c>
      <c r="B23" s="151">
        <v>43226</v>
      </c>
      <c r="C23" s="220">
        <v>1</v>
      </c>
      <c r="D23" s="58">
        <v>43233</v>
      </c>
      <c r="E23" s="1">
        <v>1</v>
      </c>
      <c r="F23" s="330" t="str">
        <f t="shared" si="1"/>
        <v>サンデーズＪｒＡ</v>
      </c>
      <c r="G23" s="201" t="str">
        <f t="shared" si="7"/>
        <v>B</v>
      </c>
      <c r="H23" s="297">
        <v>11</v>
      </c>
      <c r="I23" s="330" t="str">
        <f t="shared" si="2"/>
        <v>クッパーズＪｒ</v>
      </c>
      <c r="J23" s="201" t="str">
        <f t="shared" si="8"/>
        <v>D</v>
      </c>
      <c r="K23" s="297">
        <v>2</v>
      </c>
      <c r="L23" s="201" t="str">
        <f t="shared" si="16"/>
        <v>○</v>
      </c>
      <c r="M23" s="199" t="s">
        <v>30</v>
      </c>
      <c r="N23" s="201" t="str">
        <f t="shared" si="4"/>
        <v>BD</v>
      </c>
      <c r="O23" s="201">
        <f>COUNTIF($N$7:N23,N23)</f>
        <v>1</v>
      </c>
      <c r="P23" s="201" t="str">
        <f t="shared" si="5"/>
        <v>BD1</v>
      </c>
      <c r="Q23" s="201" t="str">
        <f t="shared" si="6"/>
        <v>N</v>
      </c>
      <c r="R23" s="201" t="str">
        <f t="shared" si="13"/>
        <v>○</v>
      </c>
      <c r="S23" s="201">
        <f t="shared" si="14"/>
        <v>11</v>
      </c>
      <c r="T23" s="201">
        <f t="shared" si="15"/>
        <v>2</v>
      </c>
      <c r="U23" s="218">
        <f t="shared" si="9"/>
        <v>17</v>
      </c>
      <c r="V23" s="205" t="str">
        <f t="shared" si="11"/>
        <v>0</v>
      </c>
      <c r="W23" s="206">
        <f t="shared" si="12"/>
        <v>43226</v>
      </c>
      <c r="Z23" s="14" t="s">
        <v>53</v>
      </c>
      <c r="AA23" s="15" t="s">
        <v>52</v>
      </c>
      <c r="AD23" s="8" t="s">
        <v>33</v>
      </c>
      <c r="AE23" s="8" t="s">
        <v>33</v>
      </c>
      <c r="AF23" s="291" t="s">
        <v>394</v>
      </c>
      <c r="AH23" s="175" t="str">
        <f t="shared" si="19"/>
        <v>H</v>
      </c>
      <c r="AI23" s="228"/>
      <c r="AJ23" s="176"/>
      <c r="AK23" s="176"/>
      <c r="AL23" s="176"/>
      <c r="AM23" s="176"/>
      <c r="AN23" s="176"/>
      <c r="AO23" s="176"/>
      <c r="AP23" s="339"/>
    </row>
    <row r="24" spans="1:32" ht="14.25">
      <c r="A24" s="21">
        <f t="shared" si="18"/>
        <v>18</v>
      </c>
      <c r="B24" s="151">
        <v>43226</v>
      </c>
      <c r="C24" s="152">
        <v>2</v>
      </c>
      <c r="D24" s="58">
        <v>43254</v>
      </c>
      <c r="E24" s="1">
        <v>3</v>
      </c>
      <c r="F24" s="330" t="str">
        <f t="shared" si="1"/>
        <v>ベアーズ</v>
      </c>
      <c r="G24" s="201" t="str">
        <f t="shared" si="7"/>
        <v>F</v>
      </c>
      <c r="H24" s="297">
        <v>0</v>
      </c>
      <c r="I24" s="330" t="str">
        <f t="shared" si="2"/>
        <v>ファイターズＢ</v>
      </c>
      <c r="J24" s="201" t="str">
        <f t="shared" si="8"/>
        <v>C</v>
      </c>
      <c r="K24" s="297">
        <v>14</v>
      </c>
      <c r="L24" s="201" t="str">
        <f t="shared" si="16"/>
        <v>●</v>
      </c>
      <c r="M24" s="199" t="s">
        <v>471</v>
      </c>
      <c r="N24" s="201" t="str">
        <f t="shared" si="4"/>
        <v>CF</v>
      </c>
      <c r="O24" s="201">
        <f>COUNTIF($N$7:N24,N24)</f>
        <v>1</v>
      </c>
      <c r="P24" s="201" t="str">
        <f t="shared" si="5"/>
        <v>CF1</v>
      </c>
      <c r="Q24" s="201" t="str">
        <f t="shared" si="6"/>
        <v>Y</v>
      </c>
      <c r="R24" s="201" t="str">
        <f t="shared" si="13"/>
        <v>○</v>
      </c>
      <c r="S24" s="201">
        <f t="shared" si="14"/>
        <v>14</v>
      </c>
      <c r="T24" s="201">
        <f t="shared" si="15"/>
        <v>0</v>
      </c>
      <c r="U24" s="218">
        <f t="shared" si="9"/>
        <v>18</v>
      </c>
      <c r="V24" s="205" t="str">
        <f t="shared" si="11"/>
        <v>0</v>
      </c>
      <c r="W24" s="206">
        <f t="shared" si="12"/>
        <v>43233</v>
      </c>
      <c r="Z24" s="42"/>
      <c r="AA24" s="42"/>
      <c r="AD24" s="8" t="s">
        <v>34</v>
      </c>
      <c r="AE24" s="8" t="s">
        <v>34</v>
      </c>
      <c r="AF24" s="291" t="s">
        <v>394</v>
      </c>
    </row>
    <row r="25" spans="1:42" ht="15" thickBot="1">
      <c r="A25" s="21">
        <f t="shared" si="18"/>
        <v>19</v>
      </c>
      <c r="B25" s="151">
        <v>43226</v>
      </c>
      <c r="C25" s="152">
        <v>3</v>
      </c>
      <c r="D25" s="58">
        <v>43233</v>
      </c>
      <c r="E25" s="1">
        <v>3</v>
      </c>
      <c r="F25" s="330" t="str">
        <f t="shared" si="1"/>
        <v>ファイターズＢ</v>
      </c>
      <c r="G25" s="201" t="str">
        <f t="shared" si="7"/>
        <v>C</v>
      </c>
      <c r="H25" s="297">
        <v>4</v>
      </c>
      <c r="I25" s="330" t="str">
        <f t="shared" si="2"/>
        <v>ファイターズＡ</v>
      </c>
      <c r="J25" s="201" t="str">
        <f t="shared" si="8"/>
        <v>A</v>
      </c>
      <c r="K25" s="297">
        <v>6</v>
      </c>
      <c r="L25" s="201" t="str">
        <f t="shared" si="16"/>
        <v>●</v>
      </c>
      <c r="M25" s="199" t="s">
        <v>475</v>
      </c>
      <c r="N25" s="201" t="str">
        <f t="shared" si="4"/>
        <v>AC</v>
      </c>
      <c r="O25" s="201">
        <f>COUNTIF($N$7:N25,N25)</f>
        <v>1</v>
      </c>
      <c r="P25" s="201" t="str">
        <f t="shared" si="5"/>
        <v>AC1</v>
      </c>
      <c r="Q25" s="201" t="str">
        <f t="shared" si="6"/>
        <v>Y</v>
      </c>
      <c r="R25" s="201" t="str">
        <f t="shared" si="13"/>
        <v>○</v>
      </c>
      <c r="S25" s="201">
        <f t="shared" si="14"/>
        <v>6</v>
      </c>
      <c r="T25" s="201">
        <f t="shared" si="15"/>
        <v>4</v>
      </c>
      <c r="U25" s="218">
        <f t="shared" si="9"/>
        <v>19</v>
      </c>
      <c r="V25" s="205" t="str">
        <f t="shared" si="11"/>
        <v>0</v>
      </c>
      <c r="W25" s="206">
        <f t="shared" si="12"/>
        <v>43254</v>
      </c>
      <c r="Z25" s="42"/>
      <c r="AD25" s="8" t="s">
        <v>287</v>
      </c>
      <c r="AE25" s="8" t="s">
        <v>287</v>
      </c>
      <c r="AF25" s="291" t="s">
        <v>394</v>
      </c>
      <c r="AH25" s="165" t="s">
        <v>408</v>
      </c>
      <c r="AI25" s="166" t="s">
        <v>411</v>
      </c>
      <c r="AJ25" s="3"/>
      <c r="AK25" s="167"/>
      <c r="AL25" s="167"/>
      <c r="AM25" s="167" t="s">
        <v>412</v>
      </c>
      <c r="AN25" s="3"/>
      <c r="AO25" s="3"/>
      <c r="AP25" s="3"/>
    </row>
    <row r="26" spans="1:42" ht="15" thickBot="1">
      <c r="A26" s="21">
        <f t="shared" si="18"/>
        <v>20</v>
      </c>
      <c r="B26" s="151">
        <v>43226</v>
      </c>
      <c r="C26" s="152">
        <v>4</v>
      </c>
      <c r="D26" s="531">
        <v>43254</v>
      </c>
      <c r="E26" s="532">
        <v>4</v>
      </c>
      <c r="F26" s="506" t="str">
        <f t="shared" si="1"/>
        <v>パイレーツ</v>
      </c>
      <c r="G26" s="507" t="str">
        <f t="shared" si="7"/>
        <v>E</v>
      </c>
      <c r="H26" s="508">
        <v>1</v>
      </c>
      <c r="I26" s="506" t="str">
        <f t="shared" si="2"/>
        <v>サンデーズＪｒＡ</v>
      </c>
      <c r="J26" s="507" t="str">
        <f t="shared" si="8"/>
        <v>B</v>
      </c>
      <c r="K26" s="508">
        <v>12</v>
      </c>
      <c r="L26" s="507" t="str">
        <f t="shared" si="16"/>
        <v>●</v>
      </c>
      <c r="M26" s="199" t="s">
        <v>477</v>
      </c>
      <c r="N26" s="201" t="str">
        <f t="shared" si="4"/>
        <v>BE</v>
      </c>
      <c r="O26" s="201">
        <f>COUNTIF($N$7:N26,N26)</f>
        <v>1</v>
      </c>
      <c r="P26" s="201" t="str">
        <f t="shared" si="5"/>
        <v>BE1</v>
      </c>
      <c r="Q26" s="201" t="str">
        <f t="shared" si="6"/>
        <v>Y</v>
      </c>
      <c r="R26" s="201" t="str">
        <f t="shared" si="13"/>
        <v>○</v>
      </c>
      <c r="S26" s="201">
        <f t="shared" si="14"/>
        <v>12</v>
      </c>
      <c r="T26" s="201">
        <f t="shared" si="15"/>
        <v>1</v>
      </c>
      <c r="U26" s="218">
        <f t="shared" si="9"/>
        <v>20</v>
      </c>
      <c r="V26" s="205" t="str">
        <f t="shared" si="11"/>
        <v>0</v>
      </c>
      <c r="W26" s="206">
        <f t="shared" si="12"/>
        <v>43233</v>
      </c>
      <c r="Z26" s="42"/>
      <c r="AD26" s="174" t="s">
        <v>288</v>
      </c>
      <c r="AE26" s="174" t="s">
        <v>288</v>
      </c>
      <c r="AF26" s="315" t="s">
        <v>394</v>
      </c>
      <c r="AH26" s="168"/>
      <c r="AI26" s="214" t="str">
        <f>AI4</f>
        <v>A</v>
      </c>
      <c r="AJ26" s="170" t="str">
        <f aca="true" t="shared" si="20" ref="AJ26:AP26">AJ4</f>
        <v>B</v>
      </c>
      <c r="AK26" s="170" t="str">
        <f t="shared" si="20"/>
        <v>C</v>
      </c>
      <c r="AL26" s="170" t="str">
        <f t="shared" si="20"/>
        <v>D</v>
      </c>
      <c r="AM26" s="170" t="str">
        <f t="shared" si="20"/>
        <v>E</v>
      </c>
      <c r="AN26" s="170" t="str">
        <f t="shared" si="20"/>
        <v>F</v>
      </c>
      <c r="AO26" s="170" t="str">
        <f t="shared" si="20"/>
        <v>G</v>
      </c>
      <c r="AP26" s="340" t="str">
        <f t="shared" si="20"/>
        <v>H</v>
      </c>
    </row>
    <row r="27" spans="1:42" ht="15" thickBot="1">
      <c r="A27" s="313">
        <f t="shared" si="18"/>
        <v>21</v>
      </c>
      <c r="B27" s="222">
        <v>43233</v>
      </c>
      <c r="C27" s="539">
        <v>1</v>
      </c>
      <c r="D27" s="545">
        <v>43366</v>
      </c>
      <c r="E27" s="546">
        <v>1</v>
      </c>
      <c r="F27" s="331" t="str">
        <f t="shared" si="1"/>
        <v>サンデーズＪｒＢ</v>
      </c>
      <c r="G27" s="223" t="str">
        <f t="shared" si="7"/>
        <v>G</v>
      </c>
      <c r="H27" s="298">
        <v>3</v>
      </c>
      <c r="I27" s="331" t="str">
        <f t="shared" si="2"/>
        <v>ファイターズＡ</v>
      </c>
      <c r="J27" s="223" t="str">
        <f t="shared" si="8"/>
        <v>A</v>
      </c>
      <c r="K27" s="298">
        <v>30</v>
      </c>
      <c r="L27" s="223" t="str">
        <f t="shared" si="16"/>
        <v>●</v>
      </c>
      <c r="M27" s="530" t="s">
        <v>462</v>
      </c>
      <c r="N27" s="201" t="str">
        <f t="shared" si="4"/>
        <v>AG</v>
      </c>
      <c r="O27" s="201">
        <f>COUNTIF($N$7:N27,N27)</f>
        <v>1</v>
      </c>
      <c r="P27" s="201" t="str">
        <f t="shared" si="5"/>
        <v>AG1</v>
      </c>
      <c r="Q27" s="201" t="str">
        <f t="shared" si="6"/>
        <v>Y</v>
      </c>
      <c r="R27" s="201" t="str">
        <f t="shared" si="13"/>
        <v>○</v>
      </c>
      <c r="S27" s="201">
        <f t="shared" si="14"/>
        <v>30</v>
      </c>
      <c r="T27" s="201">
        <f t="shared" si="15"/>
        <v>3</v>
      </c>
      <c r="U27" s="218">
        <f t="shared" si="9"/>
        <v>21</v>
      </c>
      <c r="V27" s="205" t="str">
        <f t="shared" si="11"/>
        <v>0</v>
      </c>
      <c r="W27" s="206">
        <f t="shared" si="12"/>
        <v>43254</v>
      </c>
      <c r="Z27" s="42"/>
      <c r="AD27" s="8" t="s">
        <v>35</v>
      </c>
      <c r="AE27" s="8" t="s">
        <v>292</v>
      </c>
      <c r="AF27" s="292" t="s">
        <v>395</v>
      </c>
      <c r="AH27" s="171" t="str">
        <f>AH5</f>
        <v>A</v>
      </c>
      <c r="AI27" s="226"/>
      <c r="AJ27" s="149">
        <f>VLOOKUP("AB3",$P$7:$U$69,6,FALSE)</f>
        <v>46</v>
      </c>
      <c r="AK27" s="149">
        <f>VLOOKUP("AC3",$P$7:$U$69,6,FALSE)</f>
        <v>61</v>
      </c>
      <c r="AL27" s="149">
        <f>VLOOKUP("AD3",$P$7:$U$69,6,FALSE)</f>
        <v>52</v>
      </c>
      <c r="AM27" s="149">
        <f>VLOOKUP("AE3",$P$7:$U$69,6,FALSE)</f>
        <v>55</v>
      </c>
      <c r="AN27" s="149">
        <f>VLOOKUP("AF3",$P$7:$U$69,6,FALSE)</f>
        <v>49</v>
      </c>
      <c r="AO27" s="149">
        <f>VLOOKUP("AG3",$P$7:$U$69,6,FALSE)</f>
        <v>60</v>
      </c>
      <c r="AP27" s="341" t="e">
        <f>VLOOKUP("AH3",$P$7:$U$69,6,FALSE)</f>
        <v>#N/A</v>
      </c>
    </row>
    <row r="28" spans="1:42" ht="15" thickTop="1">
      <c r="A28" s="21">
        <f t="shared" si="18"/>
        <v>22</v>
      </c>
      <c r="B28" s="332">
        <v>43233</v>
      </c>
      <c r="C28" s="499">
        <v>2</v>
      </c>
      <c r="D28" s="544">
        <v>43366</v>
      </c>
      <c r="E28" s="542">
        <v>2</v>
      </c>
      <c r="F28" s="329" t="str">
        <f t="shared" si="1"/>
        <v>クッパーズＪｒ</v>
      </c>
      <c r="G28" s="221" t="str">
        <f t="shared" si="7"/>
        <v>D</v>
      </c>
      <c r="H28" s="299">
        <v>4</v>
      </c>
      <c r="I28" s="329" t="str">
        <f t="shared" si="2"/>
        <v>ファイターズＢ</v>
      </c>
      <c r="J28" s="221" t="str">
        <f t="shared" si="8"/>
        <v>C</v>
      </c>
      <c r="K28" s="299">
        <v>7</v>
      </c>
      <c r="L28" s="221" t="str">
        <f t="shared" si="16"/>
        <v>●</v>
      </c>
      <c r="M28" s="530" t="s">
        <v>463</v>
      </c>
      <c r="N28" s="201" t="str">
        <f t="shared" si="4"/>
        <v>CD</v>
      </c>
      <c r="O28" s="201">
        <f>COUNTIF($N$7:N28,N28)</f>
        <v>2</v>
      </c>
      <c r="P28" s="201" t="str">
        <f t="shared" si="5"/>
        <v>CD2</v>
      </c>
      <c r="Q28" s="201" t="str">
        <f t="shared" si="6"/>
        <v>Y</v>
      </c>
      <c r="R28" s="201" t="str">
        <f t="shared" si="13"/>
        <v>○</v>
      </c>
      <c r="S28" s="201">
        <f t="shared" si="14"/>
        <v>7</v>
      </c>
      <c r="T28" s="201">
        <f t="shared" si="15"/>
        <v>4</v>
      </c>
      <c r="U28" s="218">
        <f t="shared" si="9"/>
        <v>22</v>
      </c>
      <c r="V28" s="205" t="str">
        <f t="shared" si="11"/>
        <v>0</v>
      </c>
      <c r="W28" s="206">
        <f t="shared" si="12"/>
        <v>43366</v>
      </c>
      <c r="Z28" s="42"/>
      <c r="AD28" s="8" t="s">
        <v>36</v>
      </c>
      <c r="AE28" s="8" t="s">
        <v>293</v>
      </c>
      <c r="AF28" s="292" t="s">
        <v>395</v>
      </c>
      <c r="AH28" s="171" t="str">
        <f aca="true" t="shared" si="21" ref="AH28:AH34">AH6</f>
        <v>B</v>
      </c>
      <c r="AI28" s="227"/>
      <c r="AJ28" s="172"/>
      <c r="AK28" s="149">
        <f>VLOOKUP("BC3",$P$7:$U$69,6,FALSE)</f>
        <v>50</v>
      </c>
      <c r="AL28" s="149">
        <f>VLOOKUP("BD3",$P$7:$U$69,6,FALSE)</f>
        <v>44</v>
      </c>
      <c r="AM28" s="149">
        <f>VLOOKUP("BE3",$P$7:$U$69,6,FALSE)</f>
        <v>63</v>
      </c>
      <c r="AN28" s="149">
        <f>VLOOKUP("BF3",$P$7:$U$69,6,FALSE)</f>
        <v>58</v>
      </c>
      <c r="AO28" s="149">
        <f>VLOOKUP("BG3",$P$7:$U$69,6,FALSE)</f>
        <v>54</v>
      </c>
      <c r="AP28" s="341" t="e">
        <f>VLOOKUP("BH3",$P$7:$U$69,6,FALSE)</f>
        <v>#N/A</v>
      </c>
    </row>
    <row r="29" spans="1:42" ht="14.25">
      <c r="A29" s="21">
        <f t="shared" si="18"/>
        <v>23</v>
      </c>
      <c r="B29" s="332">
        <v>43233</v>
      </c>
      <c r="C29" s="500">
        <v>3</v>
      </c>
      <c r="D29" s="543">
        <v>43366</v>
      </c>
      <c r="E29" s="541">
        <v>3</v>
      </c>
      <c r="F29" s="330" t="str">
        <f t="shared" si="1"/>
        <v>サンデーズＪｒＡ</v>
      </c>
      <c r="G29" s="201" t="str">
        <f t="shared" si="7"/>
        <v>B</v>
      </c>
      <c r="H29" s="297">
        <v>2</v>
      </c>
      <c r="I29" s="330" t="str">
        <f t="shared" si="2"/>
        <v>ファイターズＡ</v>
      </c>
      <c r="J29" s="201" t="str">
        <f t="shared" si="8"/>
        <v>A</v>
      </c>
      <c r="K29" s="297">
        <v>5</v>
      </c>
      <c r="L29" s="201" t="str">
        <f t="shared" si="16"/>
        <v>●</v>
      </c>
      <c r="M29" s="530" t="s">
        <v>464</v>
      </c>
      <c r="N29" s="201" t="str">
        <f t="shared" si="4"/>
        <v>AB</v>
      </c>
      <c r="O29" s="201">
        <f>COUNTIF($N$7:N29,N29)</f>
        <v>2</v>
      </c>
      <c r="P29" s="201" t="str">
        <f t="shared" si="5"/>
        <v>AB2</v>
      </c>
      <c r="Q29" s="201" t="str">
        <f t="shared" si="6"/>
        <v>Y</v>
      </c>
      <c r="R29" s="201" t="str">
        <f t="shared" si="13"/>
        <v>○</v>
      </c>
      <c r="S29" s="201">
        <f t="shared" si="14"/>
        <v>5</v>
      </c>
      <c r="T29" s="201">
        <f t="shared" si="15"/>
        <v>2</v>
      </c>
      <c r="U29" s="218">
        <f t="shared" si="9"/>
        <v>23</v>
      </c>
      <c r="V29" s="205" t="str">
        <f t="shared" si="11"/>
        <v>0</v>
      </c>
      <c r="W29" s="206">
        <f t="shared" si="12"/>
        <v>43366</v>
      </c>
      <c r="Z29" s="42"/>
      <c r="AD29" s="8" t="s">
        <v>37</v>
      </c>
      <c r="AE29" s="8" t="s">
        <v>286</v>
      </c>
      <c r="AF29" s="292" t="s">
        <v>395</v>
      </c>
      <c r="AH29" s="171" t="str">
        <f t="shared" si="21"/>
        <v>C</v>
      </c>
      <c r="AI29" s="227"/>
      <c r="AJ29" s="173"/>
      <c r="AK29" s="172"/>
      <c r="AL29" s="149">
        <f>VLOOKUP("CD3",$P$7:$U$69,6,FALSE)</f>
        <v>47</v>
      </c>
      <c r="AM29" s="149">
        <f>VLOOKUP("CE3",$P$7:$U$69,6,FALSE)</f>
        <v>51</v>
      </c>
      <c r="AN29" s="149">
        <f>VLOOKUP("CF3",$P$7:$U$69,6,FALSE)</f>
        <v>56</v>
      </c>
      <c r="AO29" s="149">
        <f>VLOOKUP("CG3",$P$7:$U$69,6,FALSE)</f>
        <v>43</v>
      </c>
      <c r="AP29" s="341" t="e">
        <f>VLOOKUP("CH3",$P$7:$U$69,6,FALSE)</f>
        <v>#N/A</v>
      </c>
    </row>
    <row r="30" spans="1:42" ht="14.25">
      <c r="A30" s="21">
        <f t="shared" si="18"/>
        <v>24</v>
      </c>
      <c r="B30" s="332">
        <v>43233</v>
      </c>
      <c r="C30" s="500">
        <v>4</v>
      </c>
      <c r="D30" s="543">
        <v>43366</v>
      </c>
      <c r="E30" s="541">
        <v>4</v>
      </c>
      <c r="F30" s="330" t="str">
        <f t="shared" si="1"/>
        <v>ベアーズ</v>
      </c>
      <c r="G30" s="201" t="str">
        <f t="shared" si="7"/>
        <v>F</v>
      </c>
      <c r="H30" s="297">
        <v>3</v>
      </c>
      <c r="I30" s="330" t="str">
        <f t="shared" si="2"/>
        <v>パイレーツ</v>
      </c>
      <c r="J30" s="201" t="str">
        <f t="shared" si="8"/>
        <v>E</v>
      </c>
      <c r="K30" s="297">
        <v>16</v>
      </c>
      <c r="L30" s="201" t="str">
        <f t="shared" si="16"/>
        <v>●</v>
      </c>
      <c r="M30" s="530" t="s">
        <v>465</v>
      </c>
      <c r="N30" s="201" t="str">
        <f t="shared" si="4"/>
        <v>EF</v>
      </c>
      <c r="O30" s="201">
        <f>COUNTIF($N$7:N30,N30)</f>
        <v>2</v>
      </c>
      <c r="P30" s="201" t="str">
        <f t="shared" si="5"/>
        <v>EF2</v>
      </c>
      <c r="Q30" s="201" t="str">
        <f t="shared" si="6"/>
        <v>Y</v>
      </c>
      <c r="R30" s="201" t="str">
        <f t="shared" si="13"/>
        <v>○</v>
      </c>
      <c r="S30" s="201">
        <f t="shared" si="14"/>
        <v>16</v>
      </c>
      <c r="T30" s="201">
        <f t="shared" si="15"/>
        <v>3</v>
      </c>
      <c r="U30" s="218">
        <f t="shared" si="9"/>
        <v>24</v>
      </c>
      <c r="V30" s="205" t="str">
        <f t="shared" si="11"/>
        <v>0</v>
      </c>
      <c r="W30" s="206">
        <f t="shared" si="12"/>
        <v>43366</v>
      </c>
      <c r="Z30" s="42"/>
      <c r="AD30" s="8" t="s">
        <v>38</v>
      </c>
      <c r="AE30" s="8" t="s">
        <v>38</v>
      </c>
      <c r="AF30" s="291" t="s">
        <v>394</v>
      </c>
      <c r="AH30" s="171" t="str">
        <f t="shared" si="21"/>
        <v>D</v>
      </c>
      <c r="AI30" s="227"/>
      <c r="AJ30" s="174"/>
      <c r="AK30" s="173"/>
      <c r="AL30" s="172"/>
      <c r="AM30" s="149">
        <f>VLOOKUP("DE3",$P$7:$U$69,6,FALSE)</f>
        <v>57</v>
      </c>
      <c r="AN30" s="149">
        <f>VLOOKUP("DF3",$P$7:$U$69,6,FALSE)</f>
        <v>59</v>
      </c>
      <c r="AO30" s="149">
        <f>VLOOKUP("DG3",$P$7:$U$69,6,FALSE)</f>
        <v>62</v>
      </c>
      <c r="AP30" s="341" t="e">
        <f>VLOOKUP("DH3",$P$7:$U$69,6,FALSE)</f>
        <v>#N/A</v>
      </c>
    </row>
    <row r="31" spans="1:42" ht="14.25">
      <c r="A31" s="21">
        <f t="shared" si="18"/>
        <v>25</v>
      </c>
      <c r="B31" s="151">
        <v>43240</v>
      </c>
      <c r="C31" s="499">
        <v>1</v>
      </c>
      <c r="D31" s="533">
        <v>43268</v>
      </c>
      <c r="E31" s="534">
        <v>1</v>
      </c>
      <c r="F31" s="502" t="str">
        <f t="shared" si="1"/>
        <v>クッパーズＪｒ</v>
      </c>
      <c r="G31" s="221" t="str">
        <f t="shared" si="7"/>
        <v>D</v>
      </c>
      <c r="H31" s="299">
        <v>3</v>
      </c>
      <c r="I31" s="329" t="str">
        <f t="shared" si="2"/>
        <v>サンデーズＪｒＡ</v>
      </c>
      <c r="J31" s="221" t="str">
        <f t="shared" si="8"/>
        <v>B</v>
      </c>
      <c r="K31" s="299">
        <v>12</v>
      </c>
      <c r="L31" s="221" t="str">
        <f t="shared" si="16"/>
        <v>●</v>
      </c>
      <c r="M31" s="199" t="s">
        <v>468</v>
      </c>
      <c r="N31" s="201" t="str">
        <f t="shared" si="4"/>
        <v>BD</v>
      </c>
      <c r="O31" s="201">
        <f>COUNTIF($N$7:N31,N31)</f>
        <v>2</v>
      </c>
      <c r="P31" s="201" t="str">
        <f t="shared" si="5"/>
        <v>BD2</v>
      </c>
      <c r="Q31" s="201" t="str">
        <f t="shared" si="6"/>
        <v>Y</v>
      </c>
      <c r="R31" s="201" t="str">
        <f t="shared" si="13"/>
        <v>○</v>
      </c>
      <c r="S31" s="201">
        <f t="shared" si="14"/>
        <v>12</v>
      </c>
      <c r="T31" s="201">
        <f t="shared" si="15"/>
        <v>3</v>
      </c>
      <c r="U31" s="218">
        <f t="shared" si="9"/>
        <v>25</v>
      </c>
      <c r="V31" s="205" t="str">
        <f t="shared" si="11"/>
        <v>0</v>
      </c>
      <c r="W31" s="206">
        <f t="shared" si="12"/>
        <v>43366</v>
      </c>
      <c r="Z31" s="42"/>
      <c r="AD31" s="8" t="s">
        <v>39</v>
      </c>
      <c r="AE31" s="8" t="s">
        <v>39</v>
      </c>
      <c r="AF31" s="291" t="s">
        <v>394</v>
      </c>
      <c r="AH31" s="171" t="str">
        <f t="shared" si="21"/>
        <v>E</v>
      </c>
      <c r="AI31" s="227"/>
      <c r="AJ31" s="174"/>
      <c r="AK31" s="174"/>
      <c r="AL31" s="173"/>
      <c r="AM31" s="172"/>
      <c r="AN31" s="149">
        <f>VLOOKUP("EF3",$P$7:$U$69,6,FALSE)</f>
        <v>45</v>
      </c>
      <c r="AO31" s="149">
        <f>VLOOKUP("EG3",$P$7:$U$69,6,FALSE)</f>
        <v>48</v>
      </c>
      <c r="AP31" s="341" t="e">
        <f>VLOOKUP("EH3",$P$7:$U$69,6,FALSE)</f>
        <v>#N/A</v>
      </c>
    </row>
    <row r="32" spans="1:42" ht="14.25">
      <c r="A32" s="21">
        <f t="shared" si="18"/>
        <v>26</v>
      </c>
      <c r="B32" s="151">
        <v>43240</v>
      </c>
      <c r="C32" s="500">
        <v>2</v>
      </c>
      <c r="D32" s="58">
        <v>43268</v>
      </c>
      <c r="E32" s="1">
        <v>2</v>
      </c>
      <c r="F32" s="501" t="str">
        <f t="shared" si="1"/>
        <v>パイレーツ</v>
      </c>
      <c r="G32" s="201" t="str">
        <f t="shared" si="7"/>
        <v>E</v>
      </c>
      <c r="H32" s="297">
        <v>0</v>
      </c>
      <c r="I32" s="330" t="str">
        <f t="shared" si="2"/>
        <v>ファイターズＡ</v>
      </c>
      <c r="J32" s="201" t="str">
        <f t="shared" si="8"/>
        <v>A</v>
      </c>
      <c r="K32" s="297">
        <v>4</v>
      </c>
      <c r="L32" s="201" t="str">
        <f t="shared" si="16"/>
        <v>●</v>
      </c>
      <c r="M32" s="199" t="s">
        <v>467</v>
      </c>
      <c r="N32" s="201" t="str">
        <f t="shared" si="4"/>
        <v>AE</v>
      </c>
      <c r="O32" s="201">
        <f>COUNTIF($N$7:N32,N32)</f>
        <v>2</v>
      </c>
      <c r="P32" s="201" t="str">
        <f t="shared" si="5"/>
        <v>AE2</v>
      </c>
      <c r="Q32" s="201" t="str">
        <f t="shared" si="6"/>
        <v>Y</v>
      </c>
      <c r="R32" s="201" t="str">
        <f t="shared" si="13"/>
        <v>○</v>
      </c>
      <c r="S32" s="201">
        <f t="shared" si="14"/>
        <v>4</v>
      </c>
      <c r="T32" s="201">
        <f t="shared" si="15"/>
        <v>0</v>
      </c>
      <c r="U32" s="218">
        <f t="shared" si="9"/>
        <v>26</v>
      </c>
      <c r="V32" s="205" t="str">
        <f t="shared" si="11"/>
        <v>0</v>
      </c>
      <c r="W32" s="206">
        <f t="shared" si="12"/>
        <v>43268</v>
      </c>
      <c r="Z32" s="42"/>
      <c r="AD32" s="8" t="s">
        <v>290</v>
      </c>
      <c r="AE32" s="8" t="s">
        <v>290</v>
      </c>
      <c r="AF32" s="291" t="s">
        <v>394</v>
      </c>
      <c r="AH32" s="171" t="str">
        <f t="shared" si="21"/>
        <v>F</v>
      </c>
      <c r="AI32" s="227"/>
      <c r="AJ32" s="174"/>
      <c r="AK32" s="174"/>
      <c r="AL32" s="174"/>
      <c r="AM32" s="173"/>
      <c r="AN32" s="172"/>
      <c r="AO32" s="149">
        <f>VLOOKUP("FG3",$P$7:$U$69,6,FALSE)</f>
        <v>53</v>
      </c>
      <c r="AP32" s="341" t="e">
        <f>VLOOKUP("FH3",$P$7:$U$69,6,FALSE)</f>
        <v>#N/A</v>
      </c>
    </row>
    <row r="33" spans="1:42" ht="14.25">
      <c r="A33" s="21">
        <f t="shared" si="18"/>
        <v>27</v>
      </c>
      <c r="B33" s="151">
        <v>43240</v>
      </c>
      <c r="C33" s="500">
        <v>3</v>
      </c>
      <c r="D33" s="58">
        <v>43268</v>
      </c>
      <c r="E33" s="1">
        <v>3</v>
      </c>
      <c r="F33" s="501" t="str">
        <f t="shared" si="1"/>
        <v>ベアーズ</v>
      </c>
      <c r="G33" s="201" t="str">
        <f t="shared" si="7"/>
        <v>F</v>
      </c>
      <c r="H33" s="297">
        <v>5</v>
      </c>
      <c r="I33" s="330" t="str">
        <f t="shared" si="2"/>
        <v>クッパーズＪｒ</v>
      </c>
      <c r="J33" s="201" t="str">
        <f t="shared" si="8"/>
        <v>D</v>
      </c>
      <c r="K33" s="297">
        <v>17</v>
      </c>
      <c r="L33" s="201" t="str">
        <f t="shared" si="16"/>
        <v>●</v>
      </c>
      <c r="M33" s="199" t="s">
        <v>466</v>
      </c>
      <c r="N33" s="201" t="str">
        <f t="shared" si="4"/>
        <v>DF</v>
      </c>
      <c r="O33" s="201">
        <f>COUNTIF($N$7:N33,N33)</f>
        <v>2</v>
      </c>
      <c r="P33" s="201" t="str">
        <f t="shared" si="5"/>
        <v>DF2</v>
      </c>
      <c r="Q33" s="201" t="str">
        <f t="shared" si="6"/>
        <v>Y</v>
      </c>
      <c r="R33" s="201" t="str">
        <f t="shared" si="13"/>
        <v>○</v>
      </c>
      <c r="S33" s="201">
        <f t="shared" si="14"/>
        <v>17</v>
      </c>
      <c r="T33" s="201">
        <f t="shared" si="15"/>
        <v>5</v>
      </c>
      <c r="U33" s="218">
        <f t="shared" si="9"/>
        <v>27</v>
      </c>
      <c r="V33" s="205" t="str">
        <f t="shared" si="11"/>
        <v>0</v>
      </c>
      <c r="W33" s="206">
        <f t="shared" si="12"/>
        <v>43268</v>
      </c>
      <c r="Z33" s="42"/>
      <c r="AD33" s="174" t="s">
        <v>291</v>
      </c>
      <c r="AE33" s="174" t="s">
        <v>291</v>
      </c>
      <c r="AF33" s="315" t="s">
        <v>394</v>
      </c>
      <c r="AH33" s="171" t="str">
        <f t="shared" si="21"/>
        <v>G</v>
      </c>
      <c r="AI33" s="227"/>
      <c r="AJ33" s="174"/>
      <c r="AK33" s="174"/>
      <c r="AL33" s="174"/>
      <c r="AM33" s="174"/>
      <c r="AN33" s="173"/>
      <c r="AO33" s="172"/>
      <c r="AP33" s="341" t="e">
        <f>VLOOKUP("GH3",$P$7:$U$69,6,FALSE)</f>
        <v>#N/A</v>
      </c>
    </row>
    <row r="34" spans="1:42" ht="15" thickBot="1">
      <c r="A34" s="314">
        <f t="shared" si="18"/>
        <v>28</v>
      </c>
      <c r="B34" s="151">
        <v>43240</v>
      </c>
      <c r="C34" s="500">
        <v>4</v>
      </c>
      <c r="D34" s="58">
        <v>43268</v>
      </c>
      <c r="E34" s="1">
        <v>4</v>
      </c>
      <c r="F34" s="501" t="str">
        <f t="shared" si="1"/>
        <v>サンデーズＪｒＢ</v>
      </c>
      <c r="G34" s="201" t="str">
        <f t="shared" si="7"/>
        <v>G</v>
      </c>
      <c r="H34" s="297">
        <v>6</v>
      </c>
      <c r="I34" s="330" t="str">
        <f t="shared" si="2"/>
        <v>ファイターズＢ</v>
      </c>
      <c r="J34" s="201" t="str">
        <f t="shared" si="8"/>
        <v>C</v>
      </c>
      <c r="K34" s="297">
        <v>18</v>
      </c>
      <c r="L34" s="201" t="str">
        <f t="shared" si="16"/>
        <v>●</v>
      </c>
      <c r="M34" s="199" t="s">
        <v>443</v>
      </c>
      <c r="N34" s="201" t="str">
        <f t="shared" si="4"/>
        <v>CG</v>
      </c>
      <c r="O34" s="201">
        <f>COUNTIF($N$7:N34,N34)</f>
        <v>2</v>
      </c>
      <c r="P34" s="201" t="str">
        <f t="shared" si="5"/>
        <v>CG2</v>
      </c>
      <c r="Q34" s="201" t="str">
        <f t="shared" si="6"/>
        <v>Y</v>
      </c>
      <c r="R34" s="201" t="str">
        <f t="shared" si="13"/>
        <v>○</v>
      </c>
      <c r="S34" s="201">
        <f t="shared" si="14"/>
        <v>18</v>
      </c>
      <c r="T34" s="201">
        <f t="shared" si="15"/>
        <v>6</v>
      </c>
      <c r="U34" s="218">
        <f t="shared" si="9"/>
        <v>28</v>
      </c>
      <c r="V34" s="205" t="str">
        <f t="shared" si="11"/>
        <v>0</v>
      </c>
      <c r="W34" s="206">
        <f t="shared" si="12"/>
        <v>43268</v>
      </c>
      <c r="Z34" s="42"/>
      <c r="AD34" s="8" t="s">
        <v>40</v>
      </c>
      <c r="AE34" s="8" t="s">
        <v>296</v>
      </c>
      <c r="AF34" s="292" t="s">
        <v>396</v>
      </c>
      <c r="AH34" s="175" t="str">
        <f t="shared" si="21"/>
        <v>H</v>
      </c>
      <c r="AI34" s="228"/>
      <c r="AJ34" s="176"/>
      <c r="AK34" s="176"/>
      <c r="AL34" s="176"/>
      <c r="AM34" s="176"/>
      <c r="AN34" s="176"/>
      <c r="AO34" s="176"/>
      <c r="AP34" s="339"/>
    </row>
    <row r="35" spans="1:32" ht="14.25">
      <c r="A35" s="21">
        <f t="shared" si="18"/>
        <v>29</v>
      </c>
      <c r="B35" s="219">
        <v>43254</v>
      </c>
      <c r="C35" s="499">
        <v>1</v>
      </c>
      <c r="D35" s="498"/>
      <c r="E35" s="504"/>
      <c r="F35" s="502" t="str">
        <f t="shared" si="1"/>
        <v>サンデーズＪｒＢ</v>
      </c>
      <c r="G35" s="221" t="str">
        <f t="shared" si="7"/>
        <v>G</v>
      </c>
      <c r="H35" s="299">
        <v>0</v>
      </c>
      <c r="I35" s="329" t="str">
        <f t="shared" si="2"/>
        <v>サンデーズＪｒＡ</v>
      </c>
      <c r="J35" s="221" t="str">
        <f t="shared" si="8"/>
        <v>B</v>
      </c>
      <c r="K35" s="299">
        <v>26</v>
      </c>
      <c r="L35" s="221" t="str">
        <f t="shared" si="16"/>
        <v>●</v>
      </c>
      <c r="M35" s="199" t="s">
        <v>446</v>
      </c>
      <c r="N35" s="201" t="str">
        <f t="shared" si="4"/>
        <v>BG</v>
      </c>
      <c r="O35" s="201">
        <f>COUNTIF($N$7:N35,N35)</f>
        <v>2</v>
      </c>
      <c r="P35" s="201" t="str">
        <f t="shared" si="5"/>
        <v>BG2</v>
      </c>
      <c r="Q35" s="201" t="str">
        <f t="shared" si="6"/>
        <v>Y</v>
      </c>
      <c r="R35" s="201" t="str">
        <f t="shared" si="13"/>
        <v>○</v>
      </c>
      <c r="S35" s="201">
        <f t="shared" si="14"/>
        <v>26</v>
      </c>
      <c r="T35" s="201">
        <f t="shared" si="15"/>
        <v>0</v>
      </c>
      <c r="U35" s="218">
        <f t="shared" si="9"/>
        <v>29</v>
      </c>
      <c r="V35" s="205" t="str">
        <f t="shared" si="11"/>
        <v>0</v>
      </c>
      <c r="W35" s="206">
        <f t="shared" si="12"/>
        <v>43268</v>
      </c>
      <c r="Z35" s="42"/>
      <c r="AD35" s="8" t="s">
        <v>41</v>
      </c>
      <c r="AE35" s="8" t="s">
        <v>297</v>
      </c>
      <c r="AF35" s="292" t="s">
        <v>395</v>
      </c>
    </row>
    <row r="36" spans="1:32" ht="14.25">
      <c r="A36" s="21">
        <f t="shared" si="18"/>
        <v>30</v>
      </c>
      <c r="B36" s="219">
        <v>43254</v>
      </c>
      <c r="C36" s="152">
        <v>2</v>
      </c>
      <c r="D36" s="498"/>
      <c r="E36" s="504"/>
      <c r="F36" s="330" t="str">
        <f t="shared" si="1"/>
        <v>ファイターズＡ</v>
      </c>
      <c r="G36" s="201" t="str">
        <f t="shared" si="7"/>
        <v>A</v>
      </c>
      <c r="H36" s="297">
        <v>1</v>
      </c>
      <c r="I36" s="330" t="str">
        <f t="shared" si="2"/>
        <v>ファイターズＢ</v>
      </c>
      <c r="J36" s="201" t="str">
        <f t="shared" si="8"/>
        <v>C</v>
      </c>
      <c r="K36" s="297">
        <v>2</v>
      </c>
      <c r="L36" s="201" t="str">
        <f t="shared" si="16"/>
        <v>●</v>
      </c>
      <c r="M36" s="199" t="s">
        <v>458</v>
      </c>
      <c r="N36" s="201" t="str">
        <f t="shared" si="4"/>
        <v>AC</v>
      </c>
      <c r="O36" s="201">
        <f>COUNTIF($N$7:N36,N36)</f>
        <v>2</v>
      </c>
      <c r="P36" s="201" t="str">
        <f t="shared" si="5"/>
        <v>AC2</v>
      </c>
      <c r="Q36" s="201" t="str">
        <f t="shared" si="6"/>
        <v>N</v>
      </c>
      <c r="R36" s="201" t="str">
        <f t="shared" si="13"/>
        <v>●</v>
      </c>
      <c r="S36" s="201">
        <f t="shared" si="14"/>
        <v>1</v>
      </c>
      <c r="T36" s="201">
        <f t="shared" si="15"/>
        <v>2</v>
      </c>
      <c r="U36" s="218">
        <f t="shared" si="9"/>
        <v>30</v>
      </c>
      <c r="V36" s="205" t="str">
        <f t="shared" si="11"/>
        <v>0</v>
      </c>
      <c r="W36" s="206">
        <f t="shared" si="12"/>
        <v>43254</v>
      </c>
      <c r="Z36" s="42"/>
      <c r="AD36" s="8" t="s">
        <v>42</v>
      </c>
      <c r="AE36" s="8" t="s">
        <v>298</v>
      </c>
      <c r="AF36" s="292" t="s">
        <v>395</v>
      </c>
    </row>
    <row r="37" spans="1:32" ht="14.25">
      <c r="A37" s="21">
        <f t="shared" si="18"/>
        <v>31</v>
      </c>
      <c r="B37" s="219">
        <v>43254</v>
      </c>
      <c r="C37" s="152">
        <v>3</v>
      </c>
      <c r="D37" s="531">
        <v>43233</v>
      </c>
      <c r="E37" s="532">
        <v>2</v>
      </c>
      <c r="F37" s="506" t="str">
        <f t="shared" si="1"/>
        <v>サンデーズＪｒＢ</v>
      </c>
      <c r="G37" s="507" t="str">
        <f t="shared" si="7"/>
        <v>G</v>
      </c>
      <c r="H37" s="508">
        <v>5</v>
      </c>
      <c r="I37" s="506" t="str">
        <f t="shared" si="2"/>
        <v>ベアーズ</v>
      </c>
      <c r="J37" s="507" t="str">
        <f t="shared" si="8"/>
        <v>F</v>
      </c>
      <c r="K37" s="508">
        <v>4</v>
      </c>
      <c r="L37" s="507" t="str">
        <f t="shared" si="16"/>
        <v>○</v>
      </c>
      <c r="M37" s="199" t="s">
        <v>451</v>
      </c>
      <c r="N37" s="201" t="str">
        <f t="shared" si="4"/>
        <v>FG</v>
      </c>
      <c r="O37" s="201">
        <f>COUNTIF($N$7:N37,N37)</f>
        <v>2</v>
      </c>
      <c r="P37" s="201" t="str">
        <f t="shared" si="5"/>
        <v>FG2</v>
      </c>
      <c r="Q37" s="201" t="str">
        <f t="shared" si="6"/>
        <v>Y</v>
      </c>
      <c r="R37" s="201" t="str">
        <f t="shared" si="13"/>
        <v>●</v>
      </c>
      <c r="S37" s="201">
        <f t="shared" si="14"/>
        <v>4</v>
      </c>
      <c r="T37" s="201">
        <f t="shared" si="15"/>
        <v>5</v>
      </c>
      <c r="U37" s="218">
        <f t="shared" si="9"/>
        <v>31</v>
      </c>
      <c r="V37" s="205" t="str">
        <f t="shared" si="11"/>
        <v>0</v>
      </c>
      <c r="W37" s="206">
        <f t="shared" si="12"/>
        <v>43254</v>
      </c>
      <c r="AD37" s="8" t="s">
        <v>43</v>
      </c>
      <c r="AE37" s="8" t="s">
        <v>299</v>
      </c>
      <c r="AF37" s="292" t="s">
        <v>395</v>
      </c>
    </row>
    <row r="38" spans="1:32" ht="14.25">
      <c r="A38" s="21">
        <f t="shared" si="18"/>
        <v>32</v>
      </c>
      <c r="B38" s="219">
        <v>43254</v>
      </c>
      <c r="C38" s="500">
        <v>4</v>
      </c>
      <c r="D38" s="540">
        <v>43359</v>
      </c>
      <c r="E38" s="541">
        <v>4</v>
      </c>
      <c r="F38" s="330" t="str">
        <f t="shared" si="1"/>
        <v>パイレーツ</v>
      </c>
      <c r="G38" s="201" t="str">
        <f t="shared" si="7"/>
        <v>E</v>
      </c>
      <c r="H38" s="297">
        <v>6</v>
      </c>
      <c r="I38" s="330" t="str">
        <f t="shared" si="2"/>
        <v>クッパーズＪｒ</v>
      </c>
      <c r="J38" s="201" t="str">
        <f t="shared" si="8"/>
        <v>D</v>
      </c>
      <c r="K38" s="297">
        <v>0</v>
      </c>
      <c r="L38" s="201" t="str">
        <f t="shared" si="16"/>
        <v>○</v>
      </c>
      <c r="M38" s="530" t="s">
        <v>474</v>
      </c>
      <c r="N38" s="201" t="str">
        <f t="shared" si="4"/>
        <v>DE</v>
      </c>
      <c r="O38" s="201">
        <f>COUNTIF($N$7:N38,N38)</f>
        <v>2</v>
      </c>
      <c r="P38" s="201" t="str">
        <f t="shared" si="5"/>
        <v>DE2</v>
      </c>
      <c r="Q38" s="201" t="str">
        <f t="shared" si="6"/>
        <v>Y</v>
      </c>
      <c r="R38" s="201" t="str">
        <f t="shared" si="13"/>
        <v>●</v>
      </c>
      <c r="S38" s="201">
        <f t="shared" si="14"/>
        <v>0</v>
      </c>
      <c r="T38" s="201">
        <f t="shared" si="15"/>
        <v>6</v>
      </c>
      <c r="U38" s="218">
        <f t="shared" si="9"/>
        <v>32</v>
      </c>
      <c r="V38" s="205" t="str">
        <f t="shared" si="11"/>
        <v>0</v>
      </c>
      <c r="W38" s="206">
        <f t="shared" si="12"/>
        <v>43233</v>
      </c>
      <c r="AD38" s="8" t="s">
        <v>44</v>
      </c>
      <c r="AE38" s="8" t="s">
        <v>44</v>
      </c>
      <c r="AF38" s="291" t="s">
        <v>394</v>
      </c>
    </row>
    <row r="39" spans="1:32" ht="14.25">
      <c r="A39" s="21">
        <f t="shared" si="18"/>
        <v>33</v>
      </c>
      <c r="B39" s="151">
        <v>43261</v>
      </c>
      <c r="C39" s="152">
        <v>1</v>
      </c>
      <c r="D39" s="533">
        <v>43275</v>
      </c>
      <c r="E39" s="534">
        <v>1</v>
      </c>
      <c r="F39" s="329" t="str">
        <f aca="true" t="shared" si="22" ref="F39:F69">VLOOKUP(G39,$Y$7:$Z$14,2,FALSE)</f>
        <v>ファイターズＢ</v>
      </c>
      <c r="G39" s="221" t="str">
        <f t="shared" si="7"/>
        <v>C</v>
      </c>
      <c r="H39" s="299">
        <v>5</v>
      </c>
      <c r="I39" s="329" t="str">
        <f aca="true" t="shared" si="23" ref="I39:I69">VLOOKUP(J39,$Y$7:$Z$14,2,FALSE)</f>
        <v>サンデーズＪｒＡ</v>
      </c>
      <c r="J39" s="221" t="str">
        <f t="shared" si="8"/>
        <v>B</v>
      </c>
      <c r="K39" s="299">
        <v>7</v>
      </c>
      <c r="L39" s="221" t="str">
        <f t="shared" si="16"/>
        <v>●</v>
      </c>
      <c r="M39" s="199" t="s">
        <v>473</v>
      </c>
      <c r="N39" s="201" t="str">
        <f aca="true" t="shared" si="24" ref="N39:N69">VLOOKUP(M39,$AD$6:$AE$61,2,FALSE)</f>
        <v>BC</v>
      </c>
      <c r="O39" s="201">
        <f>COUNTIF($N$7:N39,N39)</f>
        <v>2</v>
      </c>
      <c r="P39" s="201" t="str">
        <f aca="true" t="shared" si="25" ref="P39:P62">CONCATENATE(N39,O39)</f>
        <v>BC2</v>
      </c>
      <c r="Q39" s="201" t="str">
        <f aca="true" t="shared" si="26" ref="Q39:Q62">VLOOKUP(M39,$AD$6:$AF$61,3,FALSE)</f>
        <v>Y</v>
      </c>
      <c r="R39" s="201" t="str">
        <f t="shared" si="13"/>
        <v>○</v>
      </c>
      <c r="S39" s="201">
        <f t="shared" si="14"/>
        <v>7</v>
      </c>
      <c r="T39" s="201">
        <f t="shared" si="15"/>
        <v>5</v>
      </c>
      <c r="U39" s="218">
        <f t="shared" si="9"/>
        <v>33</v>
      </c>
      <c r="V39" s="205" t="str">
        <f t="shared" si="11"/>
        <v>0</v>
      </c>
      <c r="W39" s="206">
        <f t="shared" si="12"/>
        <v>43359</v>
      </c>
      <c r="AD39" s="8" t="s">
        <v>294</v>
      </c>
      <c r="AE39" s="8" t="s">
        <v>294</v>
      </c>
      <c r="AF39" s="291" t="s">
        <v>394</v>
      </c>
    </row>
    <row r="40" spans="1:32" ht="14.25">
      <c r="A40" s="21">
        <f t="shared" si="18"/>
        <v>34</v>
      </c>
      <c r="B40" s="151">
        <v>43261</v>
      </c>
      <c r="C40" s="152">
        <v>2</v>
      </c>
      <c r="D40" s="58">
        <v>43275</v>
      </c>
      <c r="E40" s="1">
        <v>2</v>
      </c>
      <c r="F40" s="330" t="str">
        <f t="shared" si="22"/>
        <v>サンデーズＪｒＢ</v>
      </c>
      <c r="G40" s="201" t="str">
        <f t="shared" si="7"/>
        <v>G</v>
      </c>
      <c r="H40" s="297">
        <v>5</v>
      </c>
      <c r="I40" s="330" t="str">
        <f t="shared" si="23"/>
        <v>パイレーツ</v>
      </c>
      <c r="J40" s="201" t="str">
        <f t="shared" si="8"/>
        <v>E</v>
      </c>
      <c r="K40" s="297">
        <v>14</v>
      </c>
      <c r="L40" s="201" t="str">
        <f t="shared" si="16"/>
        <v>●</v>
      </c>
      <c r="M40" s="199" t="s">
        <v>456</v>
      </c>
      <c r="N40" s="201" t="str">
        <f t="shared" si="24"/>
        <v>EG</v>
      </c>
      <c r="O40" s="201">
        <f>COUNTIF($N$7:N40,N40)</f>
        <v>2</v>
      </c>
      <c r="P40" s="201" t="str">
        <f t="shared" si="25"/>
        <v>EG2</v>
      </c>
      <c r="Q40" s="201" t="str">
        <f t="shared" si="26"/>
        <v>Y</v>
      </c>
      <c r="R40" s="201" t="str">
        <f t="shared" si="13"/>
        <v>○</v>
      </c>
      <c r="S40" s="201">
        <f t="shared" si="14"/>
        <v>14</v>
      </c>
      <c r="T40" s="201">
        <f t="shared" si="15"/>
        <v>5</v>
      </c>
      <c r="U40" s="218">
        <f t="shared" si="9"/>
        <v>34</v>
      </c>
      <c r="V40" s="205" t="str">
        <f t="shared" si="11"/>
        <v>0</v>
      </c>
      <c r="W40" s="206">
        <f t="shared" si="12"/>
        <v>43275</v>
      </c>
      <c r="AD40" s="174" t="s">
        <v>295</v>
      </c>
      <c r="AE40" s="174" t="s">
        <v>295</v>
      </c>
      <c r="AF40" s="315" t="s">
        <v>394</v>
      </c>
    </row>
    <row r="41" spans="1:32" ht="14.25">
      <c r="A41" s="21">
        <f t="shared" si="18"/>
        <v>35</v>
      </c>
      <c r="B41" s="151">
        <v>43261</v>
      </c>
      <c r="C41" s="152">
        <v>3</v>
      </c>
      <c r="D41" s="58">
        <v>43275</v>
      </c>
      <c r="E41" s="1">
        <v>3</v>
      </c>
      <c r="F41" s="330" t="str">
        <f t="shared" si="22"/>
        <v>サンデーズＪｒＡ</v>
      </c>
      <c r="G41" s="201" t="str">
        <f t="shared" si="7"/>
        <v>B</v>
      </c>
      <c r="H41" s="297">
        <v>15</v>
      </c>
      <c r="I41" s="330" t="str">
        <f t="shared" si="23"/>
        <v>ベアーズ</v>
      </c>
      <c r="J41" s="201" t="str">
        <f t="shared" si="8"/>
        <v>F</v>
      </c>
      <c r="K41" s="297">
        <v>0</v>
      </c>
      <c r="L41" s="201" t="str">
        <f t="shared" si="16"/>
        <v>○</v>
      </c>
      <c r="M41" s="199" t="s">
        <v>454</v>
      </c>
      <c r="N41" s="201" t="str">
        <f t="shared" si="24"/>
        <v>BF</v>
      </c>
      <c r="O41" s="201">
        <f>COUNTIF($N$7:N41,N41)</f>
        <v>2</v>
      </c>
      <c r="P41" s="201" t="str">
        <f t="shared" si="25"/>
        <v>BF2</v>
      </c>
      <c r="Q41" s="201" t="str">
        <f t="shared" si="26"/>
        <v>N</v>
      </c>
      <c r="R41" s="201" t="str">
        <f t="shared" si="13"/>
        <v>○</v>
      </c>
      <c r="S41" s="201">
        <f t="shared" si="14"/>
        <v>15</v>
      </c>
      <c r="T41" s="201">
        <f t="shared" si="15"/>
        <v>0</v>
      </c>
      <c r="U41" s="218">
        <f t="shared" si="9"/>
        <v>35</v>
      </c>
      <c r="V41" s="205" t="str">
        <f t="shared" si="11"/>
        <v>0</v>
      </c>
      <c r="W41" s="206">
        <f t="shared" si="12"/>
        <v>43275</v>
      </c>
      <c r="AD41" s="8" t="s">
        <v>45</v>
      </c>
      <c r="AE41" s="8" t="s">
        <v>302</v>
      </c>
      <c r="AF41" s="292" t="s">
        <v>396</v>
      </c>
    </row>
    <row r="42" spans="1:32" ht="14.25">
      <c r="A42" s="21">
        <f t="shared" si="18"/>
        <v>36</v>
      </c>
      <c r="B42" s="151">
        <v>43261</v>
      </c>
      <c r="C42" s="152">
        <v>4</v>
      </c>
      <c r="D42" s="58">
        <v>43275</v>
      </c>
      <c r="E42" s="1">
        <v>4</v>
      </c>
      <c r="F42" s="330" t="str">
        <f t="shared" si="22"/>
        <v>ファイターズＡ</v>
      </c>
      <c r="G42" s="201" t="str">
        <f t="shared" si="7"/>
        <v>A</v>
      </c>
      <c r="H42" s="297">
        <v>8</v>
      </c>
      <c r="I42" s="330" t="str">
        <f t="shared" si="23"/>
        <v>クッパーズＪｒ</v>
      </c>
      <c r="J42" s="201" t="str">
        <f t="shared" si="8"/>
        <v>D</v>
      </c>
      <c r="K42" s="297">
        <v>5</v>
      </c>
      <c r="L42" s="201" t="str">
        <f t="shared" si="16"/>
        <v>○</v>
      </c>
      <c r="M42" s="199" t="s">
        <v>457</v>
      </c>
      <c r="N42" s="201" t="str">
        <f t="shared" si="24"/>
        <v>AD</v>
      </c>
      <c r="O42" s="201">
        <f>COUNTIF($N$7:N42,N42)</f>
        <v>2</v>
      </c>
      <c r="P42" s="201" t="str">
        <f t="shared" si="25"/>
        <v>AD2</v>
      </c>
      <c r="Q42" s="201" t="str">
        <f t="shared" si="26"/>
        <v>N</v>
      </c>
      <c r="R42" s="201" t="str">
        <f t="shared" si="13"/>
        <v>○</v>
      </c>
      <c r="S42" s="201">
        <f t="shared" si="14"/>
        <v>8</v>
      </c>
      <c r="T42" s="201">
        <f t="shared" si="15"/>
        <v>5</v>
      </c>
      <c r="U42" s="218">
        <f t="shared" si="9"/>
        <v>36</v>
      </c>
      <c r="V42" s="205" t="str">
        <f t="shared" si="11"/>
        <v>0</v>
      </c>
      <c r="W42" s="206">
        <f t="shared" si="12"/>
        <v>43275</v>
      </c>
      <c r="AD42" s="8" t="s">
        <v>46</v>
      </c>
      <c r="AE42" s="8" t="s">
        <v>303</v>
      </c>
      <c r="AF42" s="292" t="s">
        <v>395</v>
      </c>
    </row>
    <row r="43" spans="1:32" ht="14.25">
      <c r="A43" s="21">
        <f t="shared" si="18"/>
        <v>37</v>
      </c>
      <c r="B43" s="151">
        <v>43268</v>
      </c>
      <c r="C43" s="152">
        <v>1</v>
      </c>
      <c r="D43" s="58">
        <v>43240</v>
      </c>
      <c r="E43" s="1">
        <v>4</v>
      </c>
      <c r="F43" s="330" t="str">
        <f t="shared" si="22"/>
        <v>サンデーズＪｒＡ</v>
      </c>
      <c r="G43" s="201" t="str">
        <f t="shared" si="7"/>
        <v>B</v>
      </c>
      <c r="H43" s="297">
        <v>5</v>
      </c>
      <c r="I43" s="330" t="str">
        <f t="shared" si="23"/>
        <v>パイレーツ</v>
      </c>
      <c r="J43" s="201" t="str">
        <f t="shared" si="8"/>
        <v>E</v>
      </c>
      <c r="K43" s="297">
        <v>2</v>
      </c>
      <c r="L43" s="201" t="str">
        <f t="shared" si="16"/>
        <v>○</v>
      </c>
      <c r="M43" s="199" t="s">
        <v>459</v>
      </c>
      <c r="N43" s="201" t="str">
        <f t="shared" si="24"/>
        <v>BE</v>
      </c>
      <c r="O43" s="201">
        <f>COUNTIF($N$7:N43,N43)</f>
        <v>2</v>
      </c>
      <c r="P43" s="201" t="str">
        <f t="shared" si="25"/>
        <v>BE2</v>
      </c>
      <c r="Q43" s="201" t="str">
        <f t="shared" si="26"/>
        <v>N</v>
      </c>
      <c r="R43" s="201" t="str">
        <f t="shared" si="13"/>
        <v>○</v>
      </c>
      <c r="S43" s="201">
        <f t="shared" si="14"/>
        <v>5</v>
      </c>
      <c r="T43" s="201">
        <f t="shared" si="15"/>
        <v>2</v>
      </c>
      <c r="U43" s="218">
        <f t="shared" si="9"/>
        <v>37</v>
      </c>
      <c r="V43" s="205" t="str">
        <f t="shared" si="11"/>
        <v>0</v>
      </c>
      <c r="W43" s="206">
        <f t="shared" si="12"/>
        <v>43275</v>
      </c>
      <c r="AD43" s="8" t="s">
        <v>47</v>
      </c>
      <c r="AE43" s="8" t="s">
        <v>304</v>
      </c>
      <c r="AF43" s="292" t="s">
        <v>395</v>
      </c>
    </row>
    <row r="44" spans="1:32" ht="14.25">
      <c r="A44" s="21">
        <f t="shared" si="18"/>
        <v>38</v>
      </c>
      <c r="B44" s="151">
        <v>43268</v>
      </c>
      <c r="C44" s="152">
        <v>2</v>
      </c>
      <c r="D44" s="531">
        <v>43240</v>
      </c>
      <c r="E44" s="532">
        <v>1</v>
      </c>
      <c r="F44" s="506" t="str">
        <f t="shared" si="22"/>
        <v>サンデーズＪｒＢ</v>
      </c>
      <c r="G44" s="507" t="str">
        <f t="shared" si="7"/>
        <v>G</v>
      </c>
      <c r="H44" s="508">
        <v>3</v>
      </c>
      <c r="I44" s="506" t="str">
        <f t="shared" si="23"/>
        <v>クッパーズＪｒ</v>
      </c>
      <c r="J44" s="507" t="str">
        <f t="shared" si="8"/>
        <v>D</v>
      </c>
      <c r="K44" s="508">
        <v>20</v>
      </c>
      <c r="L44" s="507" t="str">
        <f t="shared" si="16"/>
        <v>●</v>
      </c>
      <c r="M44" s="199" t="s">
        <v>461</v>
      </c>
      <c r="N44" s="201" t="str">
        <f t="shared" si="24"/>
        <v>DG</v>
      </c>
      <c r="O44" s="201">
        <f>COUNTIF($N$7:N44,N44)</f>
        <v>2</v>
      </c>
      <c r="P44" s="201" t="str">
        <f t="shared" si="25"/>
        <v>DG2</v>
      </c>
      <c r="Q44" s="201" t="str">
        <f t="shared" si="26"/>
        <v>Y</v>
      </c>
      <c r="R44" s="201" t="str">
        <f t="shared" si="13"/>
        <v>○</v>
      </c>
      <c r="S44" s="201">
        <f t="shared" si="14"/>
        <v>20</v>
      </c>
      <c r="T44" s="201">
        <f t="shared" si="15"/>
        <v>3</v>
      </c>
      <c r="U44" s="218">
        <f t="shared" si="9"/>
        <v>38</v>
      </c>
      <c r="V44" s="205" t="str">
        <f t="shared" si="11"/>
        <v>0</v>
      </c>
      <c r="W44" s="206">
        <f t="shared" si="12"/>
        <v>43240</v>
      </c>
      <c r="AD44" s="8" t="s">
        <v>48</v>
      </c>
      <c r="AE44" s="8" t="s">
        <v>305</v>
      </c>
      <c r="AF44" s="292" t="s">
        <v>395</v>
      </c>
    </row>
    <row r="45" spans="1:32" ht="14.25">
      <c r="A45" s="21">
        <f t="shared" si="18"/>
        <v>39</v>
      </c>
      <c r="B45" s="151">
        <v>43268</v>
      </c>
      <c r="C45" s="500">
        <v>3</v>
      </c>
      <c r="D45" s="553">
        <v>43394</v>
      </c>
      <c r="E45" s="554">
        <v>1</v>
      </c>
      <c r="F45" s="330" t="str">
        <f t="shared" si="22"/>
        <v>ファイターズＢ</v>
      </c>
      <c r="G45" s="201" t="str">
        <f t="shared" si="7"/>
        <v>C</v>
      </c>
      <c r="H45" s="297">
        <v>16</v>
      </c>
      <c r="I45" s="330" t="str">
        <f t="shared" si="23"/>
        <v>ベアーズ</v>
      </c>
      <c r="J45" s="201" t="str">
        <f t="shared" si="8"/>
        <v>F</v>
      </c>
      <c r="K45" s="297">
        <v>2</v>
      </c>
      <c r="L45" s="201" t="str">
        <f t="shared" si="16"/>
        <v>○</v>
      </c>
      <c r="M45" s="530" t="s">
        <v>460</v>
      </c>
      <c r="N45" s="201" t="str">
        <f t="shared" si="24"/>
        <v>CF</v>
      </c>
      <c r="O45" s="201">
        <f>COUNTIF($N$7:N45,N45)</f>
        <v>2</v>
      </c>
      <c r="P45" s="201" t="str">
        <f t="shared" si="25"/>
        <v>CF2</v>
      </c>
      <c r="Q45" s="201" t="str">
        <f t="shared" si="26"/>
        <v>N</v>
      </c>
      <c r="R45" s="201" t="str">
        <f t="shared" si="13"/>
        <v>○</v>
      </c>
      <c r="S45" s="201">
        <f t="shared" si="14"/>
        <v>16</v>
      </c>
      <c r="T45" s="201">
        <f t="shared" si="15"/>
        <v>2</v>
      </c>
      <c r="U45" s="218">
        <f t="shared" si="9"/>
        <v>39</v>
      </c>
      <c r="V45" s="205" t="str">
        <f t="shared" si="11"/>
        <v>0</v>
      </c>
      <c r="W45" s="206">
        <f t="shared" si="12"/>
        <v>43240</v>
      </c>
      <c r="AD45" s="8" t="s">
        <v>49</v>
      </c>
      <c r="AE45" s="8" t="s">
        <v>306</v>
      </c>
      <c r="AF45" s="292" t="s">
        <v>395</v>
      </c>
    </row>
    <row r="46" spans="1:32" ht="14.25">
      <c r="A46" s="21">
        <f t="shared" si="18"/>
        <v>40</v>
      </c>
      <c r="B46" s="151">
        <v>43268</v>
      </c>
      <c r="C46" s="500">
        <v>4</v>
      </c>
      <c r="D46" s="553">
        <v>43394</v>
      </c>
      <c r="E46" s="554">
        <v>2</v>
      </c>
      <c r="F46" s="330" t="str">
        <f t="shared" si="22"/>
        <v>サンデーズＪｒＢ</v>
      </c>
      <c r="G46" s="201" t="str">
        <f t="shared" si="7"/>
        <v>G</v>
      </c>
      <c r="H46" s="297">
        <v>13</v>
      </c>
      <c r="I46" s="330" t="str">
        <f t="shared" si="23"/>
        <v>ファイターズＡ</v>
      </c>
      <c r="J46" s="201" t="str">
        <f t="shared" si="8"/>
        <v>A</v>
      </c>
      <c r="K46" s="297">
        <v>14</v>
      </c>
      <c r="L46" s="201" t="str">
        <f t="shared" si="16"/>
        <v>●</v>
      </c>
      <c r="M46" s="547" t="s">
        <v>462</v>
      </c>
      <c r="N46" s="201" t="str">
        <f t="shared" si="24"/>
        <v>AG</v>
      </c>
      <c r="O46" s="201">
        <f>COUNTIF($N$7:N46,N46)</f>
        <v>2</v>
      </c>
      <c r="P46" s="201" t="str">
        <f t="shared" si="25"/>
        <v>AG2</v>
      </c>
      <c r="Q46" s="201" t="str">
        <f t="shared" si="26"/>
        <v>Y</v>
      </c>
      <c r="R46" s="201" t="str">
        <f t="shared" si="13"/>
        <v>○</v>
      </c>
      <c r="S46" s="201">
        <f t="shared" si="14"/>
        <v>14</v>
      </c>
      <c r="T46" s="201">
        <f t="shared" si="15"/>
        <v>13</v>
      </c>
      <c r="U46" s="218">
        <f t="shared" si="9"/>
        <v>40</v>
      </c>
      <c r="V46" s="205" t="str">
        <f t="shared" si="11"/>
        <v>0</v>
      </c>
      <c r="W46" s="206">
        <f t="shared" si="12"/>
        <v>43394</v>
      </c>
      <c r="AD46" s="8" t="s">
        <v>300</v>
      </c>
      <c r="AE46" s="8" t="s">
        <v>300</v>
      </c>
      <c r="AF46" s="291" t="s">
        <v>394</v>
      </c>
    </row>
    <row r="47" spans="1:32" ht="14.25">
      <c r="A47" s="21">
        <f t="shared" si="18"/>
        <v>41</v>
      </c>
      <c r="B47" s="151">
        <v>43275</v>
      </c>
      <c r="C47" s="499">
        <v>1</v>
      </c>
      <c r="D47" s="535">
        <v>43380</v>
      </c>
      <c r="E47" s="536">
        <v>1</v>
      </c>
      <c r="F47" s="329" t="str">
        <f t="shared" si="22"/>
        <v>ファイターズＢ</v>
      </c>
      <c r="G47" s="221" t="str">
        <f t="shared" si="7"/>
        <v>C</v>
      </c>
      <c r="H47" s="299">
        <v>4</v>
      </c>
      <c r="I47" s="329" t="str">
        <f t="shared" si="23"/>
        <v>パイレーツ</v>
      </c>
      <c r="J47" s="221" t="str">
        <f t="shared" si="8"/>
        <v>E</v>
      </c>
      <c r="K47" s="299">
        <v>6</v>
      </c>
      <c r="L47" s="221" t="str">
        <f t="shared" si="16"/>
        <v>●</v>
      </c>
      <c r="M47" s="199" t="s">
        <v>449</v>
      </c>
      <c r="N47" s="201" t="str">
        <f t="shared" si="24"/>
        <v>CE</v>
      </c>
      <c r="O47" s="201">
        <f>COUNTIF($N$7:N47,N47)</f>
        <v>2</v>
      </c>
      <c r="P47" s="201" t="str">
        <f t="shared" si="25"/>
        <v>CE2</v>
      </c>
      <c r="Q47" s="201" t="str">
        <f t="shared" si="26"/>
        <v>N</v>
      </c>
      <c r="R47" s="201" t="str">
        <f t="shared" si="13"/>
        <v>●</v>
      </c>
      <c r="S47" s="201">
        <f t="shared" si="14"/>
        <v>4</v>
      </c>
      <c r="T47" s="201">
        <f t="shared" si="15"/>
        <v>6</v>
      </c>
      <c r="U47" s="218">
        <f t="shared" si="9"/>
        <v>41</v>
      </c>
      <c r="V47" s="205" t="str">
        <f t="shared" si="11"/>
        <v>0</v>
      </c>
      <c r="W47" s="206">
        <f t="shared" si="12"/>
        <v>43394</v>
      </c>
      <c r="AD47" s="174" t="s">
        <v>301</v>
      </c>
      <c r="AE47" s="174" t="s">
        <v>301</v>
      </c>
      <c r="AF47" s="315" t="s">
        <v>394</v>
      </c>
    </row>
    <row r="48" spans="1:32" ht="15" thickBot="1">
      <c r="A48" s="313">
        <f t="shared" si="18"/>
        <v>42</v>
      </c>
      <c r="B48" s="222">
        <v>43275</v>
      </c>
      <c r="C48" s="539">
        <v>2</v>
      </c>
      <c r="D48" s="551">
        <v>43380</v>
      </c>
      <c r="E48" s="552">
        <v>2</v>
      </c>
      <c r="F48" s="548" t="str">
        <f t="shared" si="22"/>
        <v>ファイターズＡ</v>
      </c>
      <c r="G48" s="549" t="str">
        <f t="shared" si="7"/>
        <v>A</v>
      </c>
      <c r="H48" s="550">
        <v>17</v>
      </c>
      <c r="I48" s="548" t="str">
        <f t="shared" si="23"/>
        <v>ベアーズ</v>
      </c>
      <c r="J48" s="549" t="str">
        <f t="shared" si="8"/>
        <v>F</v>
      </c>
      <c r="K48" s="550">
        <v>1</v>
      </c>
      <c r="L48" s="549" t="str">
        <f t="shared" si="16"/>
        <v>○</v>
      </c>
      <c r="M48" s="199" t="s">
        <v>447</v>
      </c>
      <c r="N48" s="201" t="str">
        <f t="shared" si="24"/>
        <v>AF</v>
      </c>
      <c r="O48" s="201">
        <f>COUNTIF($N$7:N48,N48)</f>
        <v>2</v>
      </c>
      <c r="P48" s="201" t="str">
        <f t="shared" si="25"/>
        <v>AF2</v>
      </c>
      <c r="Q48" s="201" t="str">
        <f t="shared" si="26"/>
        <v>N</v>
      </c>
      <c r="R48" s="201" t="str">
        <f t="shared" si="13"/>
        <v>○</v>
      </c>
      <c r="S48" s="201">
        <f t="shared" si="14"/>
        <v>17</v>
      </c>
      <c r="T48" s="201">
        <f t="shared" si="15"/>
        <v>1</v>
      </c>
      <c r="U48" s="218">
        <f t="shared" si="9"/>
        <v>42</v>
      </c>
      <c r="V48" s="205" t="str">
        <f t="shared" si="11"/>
        <v>0</v>
      </c>
      <c r="W48" s="206">
        <f t="shared" si="12"/>
        <v>43380</v>
      </c>
      <c r="AD48" s="8" t="s">
        <v>307</v>
      </c>
      <c r="AE48" s="8" t="s">
        <v>278</v>
      </c>
      <c r="AF48" s="292" t="s">
        <v>395</v>
      </c>
    </row>
    <row r="49" spans="1:32" ht="15" thickTop="1">
      <c r="A49" s="21">
        <f t="shared" si="18"/>
        <v>43</v>
      </c>
      <c r="B49" s="219">
        <v>43275</v>
      </c>
      <c r="C49" s="499">
        <v>3</v>
      </c>
      <c r="D49" s="535">
        <v>43380</v>
      </c>
      <c r="E49" s="536">
        <v>3</v>
      </c>
      <c r="F49" s="329" t="str">
        <f t="shared" si="22"/>
        <v>サンデーズＪｒＢ</v>
      </c>
      <c r="G49" s="221" t="str">
        <f t="shared" si="7"/>
        <v>G</v>
      </c>
      <c r="H49" s="299">
        <v>1</v>
      </c>
      <c r="I49" s="329" t="str">
        <f t="shared" si="23"/>
        <v>ファイターズＢ</v>
      </c>
      <c r="J49" s="221" t="str">
        <f t="shared" si="8"/>
        <v>C</v>
      </c>
      <c r="K49" s="299">
        <v>14</v>
      </c>
      <c r="L49" s="221" t="str">
        <f t="shared" si="16"/>
        <v>●</v>
      </c>
      <c r="M49" s="199" t="s">
        <v>443</v>
      </c>
      <c r="N49" s="201" t="str">
        <f t="shared" si="24"/>
        <v>CG</v>
      </c>
      <c r="O49" s="201">
        <f>COUNTIF($N$7:N49,N49)</f>
        <v>3</v>
      </c>
      <c r="P49" s="201" t="str">
        <f t="shared" si="25"/>
        <v>CG3</v>
      </c>
      <c r="Q49" s="201" t="str">
        <f t="shared" si="26"/>
        <v>Y</v>
      </c>
      <c r="R49" s="201" t="str">
        <f t="shared" si="13"/>
        <v>○</v>
      </c>
      <c r="S49" s="201">
        <f t="shared" si="14"/>
        <v>14</v>
      </c>
      <c r="T49" s="201">
        <f t="shared" si="15"/>
        <v>1</v>
      </c>
      <c r="U49" s="218">
        <f t="shared" si="9"/>
        <v>43</v>
      </c>
      <c r="V49" s="205" t="str">
        <f t="shared" si="11"/>
        <v>0</v>
      </c>
      <c r="W49" s="206">
        <f t="shared" si="12"/>
        <v>43380</v>
      </c>
      <c r="AD49" s="8" t="s">
        <v>308</v>
      </c>
      <c r="AE49" s="8" t="s">
        <v>314</v>
      </c>
      <c r="AF49" s="292" t="s">
        <v>395</v>
      </c>
    </row>
    <row r="50" spans="1:32" ht="14.25">
      <c r="A50" s="21">
        <f t="shared" si="18"/>
        <v>44</v>
      </c>
      <c r="B50" s="151">
        <v>43275</v>
      </c>
      <c r="C50" s="500">
        <v>4</v>
      </c>
      <c r="D50" s="553">
        <v>43380</v>
      </c>
      <c r="E50" s="554">
        <v>4</v>
      </c>
      <c r="F50" s="330" t="str">
        <f t="shared" si="22"/>
        <v>サンデーズＪｒＡ</v>
      </c>
      <c r="G50" s="201" t="str">
        <f t="shared" si="7"/>
        <v>B</v>
      </c>
      <c r="H50" s="297">
        <v>6</v>
      </c>
      <c r="I50" s="330" t="str">
        <f t="shared" si="23"/>
        <v>クッパーズＪｒ</v>
      </c>
      <c r="J50" s="201" t="str">
        <f t="shared" si="8"/>
        <v>D</v>
      </c>
      <c r="K50" s="297">
        <v>0</v>
      </c>
      <c r="L50" s="201" t="str">
        <f t="shared" si="16"/>
        <v>○</v>
      </c>
      <c r="M50" s="199" t="s">
        <v>444</v>
      </c>
      <c r="N50" s="201" t="str">
        <f t="shared" si="24"/>
        <v>BD</v>
      </c>
      <c r="O50" s="201">
        <f>COUNTIF($N$7:N50,N50)</f>
        <v>3</v>
      </c>
      <c r="P50" s="201" t="str">
        <f t="shared" si="25"/>
        <v>BD3</v>
      </c>
      <c r="Q50" s="201" t="str">
        <f t="shared" si="26"/>
        <v>N</v>
      </c>
      <c r="R50" s="201" t="str">
        <f t="shared" si="13"/>
        <v>○</v>
      </c>
      <c r="S50" s="201">
        <f t="shared" si="14"/>
        <v>6</v>
      </c>
      <c r="T50" s="201">
        <f t="shared" si="15"/>
        <v>0</v>
      </c>
      <c r="U50" s="218">
        <f t="shared" si="9"/>
        <v>44</v>
      </c>
      <c r="V50" s="205" t="str">
        <f t="shared" si="11"/>
        <v>0</v>
      </c>
      <c r="W50" s="206">
        <f t="shared" si="12"/>
        <v>43380</v>
      </c>
      <c r="AD50" s="8" t="s">
        <v>309</v>
      </c>
      <c r="AE50" s="8" t="s">
        <v>315</v>
      </c>
      <c r="AF50" s="292" t="s">
        <v>395</v>
      </c>
    </row>
    <row r="51" spans="1:32" ht="14.25">
      <c r="A51" s="21">
        <f t="shared" si="18"/>
        <v>45</v>
      </c>
      <c r="B51" s="151">
        <v>43282</v>
      </c>
      <c r="C51" s="499">
        <v>1</v>
      </c>
      <c r="D51" s="498"/>
      <c r="E51" s="504"/>
      <c r="F51" s="330" t="str">
        <f t="shared" si="22"/>
        <v>パイレーツ</v>
      </c>
      <c r="G51" s="201" t="str">
        <f t="shared" si="7"/>
        <v>E</v>
      </c>
      <c r="H51" s="297">
        <v>11</v>
      </c>
      <c r="I51" s="330" t="str">
        <f t="shared" si="23"/>
        <v>ベアーズ</v>
      </c>
      <c r="J51" s="201" t="str">
        <f t="shared" si="8"/>
        <v>F</v>
      </c>
      <c r="K51" s="297">
        <v>2</v>
      </c>
      <c r="L51" s="201" t="str">
        <f t="shared" si="16"/>
        <v>○</v>
      </c>
      <c r="M51" s="199" t="s">
        <v>445</v>
      </c>
      <c r="N51" s="201" t="str">
        <f t="shared" si="24"/>
        <v>EF</v>
      </c>
      <c r="O51" s="201">
        <f>COUNTIF($N$7:N51,N51)</f>
        <v>3</v>
      </c>
      <c r="P51" s="201" t="str">
        <f t="shared" si="25"/>
        <v>EF3</v>
      </c>
      <c r="Q51" s="201" t="str">
        <f t="shared" si="26"/>
        <v>N</v>
      </c>
      <c r="R51" s="201" t="str">
        <f t="shared" si="13"/>
        <v>○</v>
      </c>
      <c r="S51" s="201">
        <f t="shared" si="14"/>
        <v>11</v>
      </c>
      <c r="T51" s="201">
        <f t="shared" si="15"/>
        <v>2</v>
      </c>
      <c r="U51" s="218">
        <f t="shared" si="9"/>
        <v>45</v>
      </c>
      <c r="V51" s="205" t="str">
        <f t="shared" si="11"/>
        <v>0</v>
      </c>
      <c r="W51" s="206">
        <f t="shared" si="12"/>
        <v>43380</v>
      </c>
      <c r="AD51" s="8" t="s">
        <v>310</v>
      </c>
      <c r="AE51" s="8" t="s">
        <v>316</v>
      </c>
      <c r="AF51" s="292" t="s">
        <v>395</v>
      </c>
    </row>
    <row r="52" spans="1:32" ht="14.25">
      <c r="A52" s="21">
        <f t="shared" si="18"/>
        <v>46</v>
      </c>
      <c r="B52" s="151">
        <v>43282</v>
      </c>
      <c r="C52" s="152">
        <v>2</v>
      </c>
      <c r="D52" s="498"/>
      <c r="E52" s="504"/>
      <c r="F52" s="330" t="str">
        <f t="shared" si="22"/>
        <v>ファイターズＡ</v>
      </c>
      <c r="G52" s="201" t="str">
        <f t="shared" si="7"/>
        <v>A</v>
      </c>
      <c r="H52" s="297">
        <v>7</v>
      </c>
      <c r="I52" s="330" t="str">
        <f t="shared" si="23"/>
        <v>サンデーズＪｒＡ</v>
      </c>
      <c r="J52" s="201" t="str">
        <f t="shared" si="8"/>
        <v>B</v>
      </c>
      <c r="K52" s="297">
        <v>3</v>
      </c>
      <c r="L52" s="201" t="str">
        <f t="shared" si="16"/>
        <v>○</v>
      </c>
      <c r="M52" s="199" t="s">
        <v>442</v>
      </c>
      <c r="N52" s="201" t="str">
        <f t="shared" si="24"/>
        <v>AB</v>
      </c>
      <c r="O52" s="201">
        <f>COUNTIF($N$7:N52,N52)</f>
        <v>3</v>
      </c>
      <c r="P52" s="201" t="str">
        <f t="shared" si="25"/>
        <v>AB3</v>
      </c>
      <c r="Q52" s="201" t="str">
        <f t="shared" si="26"/>
        <v>N</v>
      </c>
      <c r="R52" s="201" t="str">
        <f t="shared" si="13"/>
        <v>○</v>
      </c>
      <c r="S52" s="201">
        <f t="shared" si="14"/>
        <v>7</v>
      </c>
      <c r="T52" s="201">
        <f t="shared" si="15"/>
        <v>3</v>
      </c>
      <c r="U52" s="218">
        <f t="shared" si="9"/>
        <v>46</v>
      </c>
      <c r="V52" s="205" t="str">
        <f t="shared" si="11"/>
        <v>0</v>
      </c>
      <c r="W52" s="206">
        <f t="shared" si="12"/>
        <v>43282</v>
      </c>
      <c r="AD52" s="8" t="s">
        <v>311</v>
      </c>
      <c r="AE52" s="8" t="s">
        <v>317</v>
      </c>
      <c r="AF52" s="292" t="s">
        <v>395</v>
      </c>
    </row>
    <row r="53" spans="1:32" ht="14.25">
      <c r="A53" s="21">
        <f t="shared" si="18"/>
        <v>47</v>
      </c>
      <c r="B53" s="151">
        <v>43282</v>
      </c>
      <c r="C53" s="152">
        <v>3</v>
      </c>
      <c r="D53" s="498"/>
      <c r="E53" s="504"/>
      <c r="F53" s="330" t="str">
        <f t="shared" si="22"/>
        <v>ファイターズＢ</v>
      </c>
      <c r="G53" s="201" t="str">
        <f t="shared" si="7"/>
        <v>C</v>
      </c>
      <c r="H53" s="297">
        <v>9</v>
      </c>
      <c r="I53" s="330" t="str">
        <f t="shared" si="23"/>
        <v>クッパーズＪｒ</v>
      </c>
      <c r="J53" s="201" t="str">
        <f t="shared" si="8"/>
        <v>D</v>
      </c>
      <c r="K53" s="297">
        <v>0</v>
      </c>
      <c r="L53" s="201" t="str">
        <f t="shared" si="16"/>
        <v>○</v>
      </c>
      <c r="M53" s="199" t="s">
        <v>455</v>
      </c>
      <c r="N53" s="201" t="str">
        <f t="shared" si="24"/>
        <v>CD</v>
      </c>
      <c r="O53" s="201">
        <f>COUNTIF($N$7:N53,N53)</f>
        <v>3</v>
      </c>
      <c r="P53" s="201" t="str">
        <f t="shared" si="25"/>
        <v>CD3</v>
      </c>
      <c r="Q53" s="201" t="str">
        <f t="shared" si="26"/>
        <v>N</v>
      </c>
      <c r="R53" s="201" t="str">
        <f t="shared" si="13"/>
        <v>○</v>
      </c>
      <c r="S53" s="201">
        <f t="shared" si="14"/>
        <v>9</v>
      </c>
      <c r="T53" s="201">
        <f t="shared" si="15"/>
        <v>0</v>
      </c>
      <c r="U53" s="218">
        <f t="shared" si="9"/>
        <v>47</v>
      </c>
      <c r="V53" s="205" t="str">
        <f t="shared" si="11"/>
        <v>0</v>
      </c>
      <c r="W53" s="206">
        <f t="shared" si="12"/>
        <v>43282</v>
      </c>
      <c r="AD53" s="8" t="s">
        <v>312</v>
      </c>
      <c r="AE53" s="8" t="s">
        <v>318</v>
      </c>
      <c r="AF53" s="292" t="s">
        <v>395</v>
      </c>
    </row>
    <row r="54" spans="1:32" ht="14.25">
      <c r="A54" s="21">
        <f t="shared" si="18"/>
        <v>48</v>
      </c>
      <c r="B54" s="151">
        <v>43289</v>
      </c>
      <c r="C54" s="220">
        <v>1</v>
      </c>
      <c r="D54" s="498"/>
      <c r="E54" s="505"/>
      <c r="F54" s="330" t="str">
        <f t="shared" si="22"/>
        <v>サンデーズＪｒＢ</v>
      </c>
      <c r="G54" s="201" t="str">
        <f t="shared" si="7"/>
        <v>G</v>
      </c>
      <c r="H54" s="297">
        <v>4</v>
      </c>
      <c r="I54" s="330" t="str">
        <f t="shared" si="23"/>
        <v>パイレーツ</v>
      </c>
      <c r="J54" s="201" t="str">
        <f t="shared" si="8"/>
        <v>E</v>
      </c>
      <c r="K54" s="297">
        <v>11</v>
      </c>
      <c r="L54" s="201" t="str">
        <f t="shared" si="16"/>
        <v>●</v>
      </c>
      <c r="M54" s="199" t="s">
        <v>456</v>
      </c>
      <c r="N54" s="201" t="str">
        <f t="shared" si="24"/>
        <v>EG</v>
      </c>
      <c r="O54" s="201">
        <f>COUNTIF($N$7:N54,N54)</f>
        <v>3</v>
      </c>
      <c r="P54" s="201" t="str">
        <f t="shared" si="25"/>
        <v>EG3</v>
      </c>
      <c r="Q54" s="201" t="str">
        <f t="shared" si="26"/>
        <v>Y</v>
      </c>
      <c r="R54" s="201" t="str">
        <f t="shared" si="13"/>
        <v>○</v>
      </c>
      <c r="S54" s="201">
        <f t="shared" si="14"/>
        <v>11</v>
      </c>
      <c r="T54" s="201">
        <f t="shared" si="15"/>
        <v>4</v>
      </c>
      <c r="U54" s="218">
        <f t="shared" si="9"/>
        <v>48</v>
      </c>
      <c r="V54" s="205" t="str">
        <f t="shared" si="11"/>
        <v>0</v>
      </c>
      <c r="W54" s="206">
        <f t="shared" si="12"/>
        <v>43282</v>
      </c>
      <c r="AD54" s="174" t="s">
        <v>313</v>
      </c>
      <c r="AE54" s="174" t="s">
        <v>319</v>
      </c>
      <c r="AF54" s="315" t="s">
        <v>394</v>
      </c>
    </row>
    <row r="55" spans="1:32" ht="14.25">
      <c r="A55" s="21">
        <f t="shared" si="18"/>
        <v>49</v>
      </c>
      <c r="B55" s="151">
        <v>43289</v>
      </c>
      <c r="C55" s="152">
        <v>2</v>
      </c>
      <c r="D55" s="498"/>
      <c r="E55" s="504"/>
      <c r="F55" s="330" t="str">
        <f t="shared" si="22"/>
        <v>ファイターズＡ</v>
      </c>
      <c r="G55" s="201" t="str">
        <f t="shared" si="7"/>
        <v>A</v>
      </c>
      <c r="H55" s="297">
        <v>13</v>
      </c>
      <c r="I55" s="330" t="str">
        <f t="shared" si="23"/>
        <v>ベアーズ</v>
      </c>
      <c r="J55" s="201" t="str">
        <f t="shared" si="8"/>
        <v>F</v>
      </c>
      <c r="K55" s="297">
        <v>0</v>
      </c>
      <c r="L55" s="201" t="str">
        <f t="shared" si="16"/>
        <v>○</v>
      </c>
      <c r="M55" s="199" t="s">
        <v>447</v>
      </c>
      <c r="N55" s="201" t="str">
        <f t="shared" si="24"/>
        <v>AF</v>
      </c>
      <c r="O55" s="201">
        <f>COUNTIF($N$7:N55,N55)</f>
        <v>3</v>
      </c>
      <c r="P55" s="201" t="str">
        <f t="shared" si="25"/>
        <v>AF3</v>
      </c>
      <c r="Q55" s="201" t="str">
        <f t="shared" si="26"/>
        <v>N</v>
      </c>
      <c r="R55" s="201" t="str">
        <f t="shared" si="13"/>
        <v>○</v>
      </c>
      <c r="S55" s="201">
        <f t="shared" si="14"/>
        <v>13</v>
      </c>
      <c r="T55" s="201">
        <f t="shared" si="15"/>
        <v>0</v>
      </c>
      <c r="U55" s="218">
        <f t="shared" si="9"/>
        <v>49</v>
      </c>
      <c r="V55" s="205" t="str">
        <f t="shared" si="11"/>
        <v>0</v>
      </c>
      <c r="W55" s="206">
        <f t="shared" si="12"/>
        <v>43289</v>
      </c>
      <c r="AD55" s="174" t="s">
        <v>320</v>
      </c>
      <c r="AE55" s="174" t="s">
        <v>279</v>
      </c>
      <c r="AF55" s="316" t="s">
        <v>395</v>
      </c>
    </row>
    <row r="56" spans="1:32" ht="14.25">
      <c r="A56" s="21">
        <f t="shared" si="18"/>
        <v>50</v>
      </c>
      <c r="B56" s="151">
        <v>43289</v>
      </c>
      <c r="C56" s="152">
        <v>3</v>
      </c>
      <c r="D56" s="498"/>
      <c r="E56" s="504"/>
      <c r="F56" s="330" t="str">
        <f t="shared" si="22"/>
        <v>サンデーズＪｒＡ</v>
      </c>
      <c r="G56" s="201" t="str">
        <f t="shared" si="7"/>
        <v>B</v>
      </c>
      <c r="H56" s="297">
        <v>13</v>
      </c>
      <c r="I56" s="330" t="str">
        <f t="shared" si="23"/>
        <v>ファイターズＢ</v>
      </c>
      <c r="J56" s="201" t="str">
        <f t="shared" si="8"/>
        <v>C</v>
      </c>
      <c r="K56" s="297">
        <v>1</v>
      </c>
      <c r="L56" s="201" t="str">
        <f t="shared" si="16"/>
        <v>○</v>
      </c>
      <c r="M56" s="199" t="s">
        <v>453</v>
      </c>
      <c r="N56" s="201" t="str">
        <f t="shared" si="24"/>
        <v>BC</v>
      </c>
      <c r="O56" s="201">
        <f>COUNTIF($N$7:N56,N56)</f>
        <v>3</v>
      </c>
      <c r="P56" s="201" t="str">
        <f t="shared" si="25"/>
        <v>BC3</v>
      </c>
      <c r="Q56" s="201" t="str">
        <f t="shared" si="26"/>
        <v>N</v>
      </c>
      <c r="R56" s="201" t="str">
        <f t="shared" si="13"/>
        <v>○</v>
      </c>
      <c r="S56" s="201">
        <f t="shared" si="14"/>
        <v>13</v>
      </c>
      <c r="T56" s="201">
        <f t="shared" si="15"/>
        <v>1</v>
      </c>
      <c r="U56" s="218">
        <f t="shared" si="9"/>
        <v>50</v>
      </c>
      <c r="V56" s="205" t="str">
        <f t="shared" si="11"/>
        <v>0</v>
      </c>
      <c r="W56" s="206">
        <f t="shared" si="12"/>
        <v>43289</v>
      </c>
      <c r="AD56" s="174" t="s">
        <v>321</v>
      </c>
      <c r="AE56" s="174" t="s">
        <v>282</v>
      </c>
      <c r="AF56" s="316" t="s">
        <v>395</v>
      </c>
    </row>
    <row r="57" spans="1:32" ht="14.25">
      <c r="A57" s="21">
        <f t="shared" si="18"/>
        <v>51</v>
      </c>
      <c r="B57" s="151">
        <v>43345</v>
      </c>
      <c r="C57" s="220">
        <v>1</v>
      </c>
      <c r="D57" s="553">
        <v>43352</v>
      </c>
      <c r="E57" s="554">
        <v>1</v>
      </c>
      <c r="F57" s="330" t="str">
        <f t="shared" si="22"/>
        <v>パイレーツ</v>
      </c>
      <c r="G57" s="201" t="str">
        <f t="shared" si="7"/>
        <v>E</v>
      </c>
      <c r="H57" s="297">
        <v>2</v>
      </c>
      <c r="I57" s="330" t="str">
        <f t="shared" si="23"/>
        <v>ファイターズＢ</v>
      </c>
      <c r="J57" s="201" t="str">
        <f t="shared" si="8"/>
        <v>C</v>
      </c>
      <c r="K57" s="297">
        <v>6</v>
      </c>
      <c r="L57" s="201" t="str">
        <f t="shared" si="16"/>
        <v>●</v>
      </c>
      <c r="M57" s="199" t="s">
        <v>470</v>
      </c>
      <c r="N57" s="201" t="str">
        <f t="shared" si="24"/>
        <v>CE</v>
      </c>
      <c r="O57" s="201">
        <f>COUNTIF($N$7:N57,N57)</f>
        <v>3</v>
      </c>
      <c r="P57" s="201" t="str">
        <f t="shared" si="25"/>
        <v>CE3</v>
      </c>
      <c r="Q57" s="201" t="str">
        <f t="shared" si="26"/>
        <v>Y</v>
      </c>
      <c r="R57" s="201" t="str">
        <f t="shared" si="13"/>
        <v>○</v>
      </c>
      <c r="S57" s="201">
        <f t="shared" si="14"/>
        <v>6</v>
      </c>
      <c r="T57" s="201">
        <f t="shared" si="15"/>
        <v>2</v>
      </c>
      <c r="U57" s="218">
        <f t="shared" si="9"/>
        <v>51</v>
      </c>
      <c r="V57" s="205" t="str">
        <f t="shared" si="11"/>
        <v>0</v>
      </c>
      <c r="W57" s="206">
        <f t="shared" si="12"/>
        <v>43289</v>
      </c>
      <c r="AD57" s="174" t="s">
        <v>322</v>
      </c>
      <c r="AE57" s="174" t="s">
        <v>327</v>
      </c>
      <c r="AF57" s="316" t="s">
        <v>395</v>
      </c>
    </row>
    <row r="58" spans="1:32" ht="14.25">
      <c r="A58" s="21">
        <f t="shared" si="18"/>
        <v>52</v>
      </c>
      <c r="B58" s="151">
        <v>43345</v>
      </c>
      <c r="C58" s="152">
        <v>2</v>
      </c>
      <c r="D58" s="537">
        <v>43352</v>
      </c>
      <c r="E58" s="538">
        <v>2</v>
      </c>
      <c r="F58" s="506" t="str">
        <f t="shared" si="22"/>
        <v>クッパーズＪｒ</v>
      </c>
      <c r="G58" s="507" t="str">
        <f t="shared" si="7"/>
        <v>D</v>
      </c>
      <c r="H58" s="508">
        <v>2</v>
      </c>
      <c r="I58" s="506" t="str">
        <f t="shared" si="23"/>
        <v>ファイターズＡ</v>
      </c>
      <c r="J58" s="507" t="str">
        <f t="shared" si="8"/>
        <v>A</v>
      </c>
      <c r="K58" s="508">
        <v>8</v>
      </c>
      <c r="L58" s="507" t="str">
        <f t="shared" si="16"/>
        <v>●</v>
      </c>
      <c r="M58" s="199" t="s">
        <v>472</v>
      </c>
      <c r="N58" s="201" t="str">
        <f t="shared" si="24"/>
        <v>AD</v>
      </c>
      <c r="O58" s="201">
        <f>COUNTIF($N$7:N58,N58)</f>
        <v>3</v>
      </c>
      <c r="P58" s="201" t="str">
        <f t="shared" si="25"/>
        <v>AD3</v>
      </c>
      <c r="Q58" s="201" t="str">
        <f t="shared" si="26"/>
        <v>Y</v>
      </c>
      <c r="R58" s="201" t="str">
        <f t="shared" si="13"/>
        <v>○</v>
      </c>
      <c r="S58" s="201">
        <f t="shared" si="14"/>
        <v>8</v>
      </c>
      <c r="T58" s="201">
        <f t="shared" si="15"/>
        <v>2</v>
      </c>
      <c r="U58" s="218">
        <f t="shared" si="9"/>
        <v>52</v>
      </c>
      <c r="V58" s="205" t="str">
        <f t="shared" si="11"/>
        <v>0</v>
      </c>
      <c r="W58" s="206">
        <f t="shared" si="12"/>
        <v>43352</v>
      </c>
      <c r="AD58" s="174" t="s">
        <v>323</v>
      </c>
      <c r="AE58" s="174" t="s">
        <v>328</v>
      </c>
      <c r="AF58" s="316" t="s">
        <v>395</v>
      </c>
    </row>
    <row r="59" spans="1:32" ht="14.25">
      <c r="A59" s="21">
        <f t="shared" si="18"/>
        <v>53</v>
      </c>
      <c r="B59" s="151">
        <v>43345</v>
      </c>
      <c r="C59" s="500">
        <v>3</v>
      </c>
      <c r="D59" s="784">
        <v>43359</v>
      </c>
      <c r="E59" s="785">
        <v>1</v>
      </c>
      <c r="F59" s="786" t="str">
        <f t="shared" si="22"/>
        <v>サンデーズＪｒＢ</v>
      </c>
      <c r="G59" s="507" t="str">
        <f t="shared" si="7"/>
        <v>G</v>
      </c>
      <c r="H59" s="508">
        <v>3</v>
      </c>
      <c r="I59" s="506" t="str">
        <f t="shared" si="23"/>
        <v>ベアーズ</v>
      </c>
      <c r="J59" s="507" t="str">
        <f t="shared" si="8"/>
        <v>F</v>
      </c>
      <c r="K59" s="508">
        <v>7</v>
      </c>
      <c r="L59" s="507" t="str">
        <f t="shared" si="16"/>
        <v>●</v>
      </c>
      <c r="M59" s="530" t="s">
        <v>451</v>
      </c>
      <c r="N59" s="201" t="str">
        <f t="shared" si="24"/>
        <v>FG</v>
      </c>
      <c r="O59" s="201">
        <f>COUNTIF($N$7:N59,N59)</f>
        <v>3</v>
      </c>
      <c r="P59" s="201" t="str">
        <f t="shared" si="25"/>
        <v>FG3</v>
      </c>
      <c r="Q59" s="201" t="str">
        <f t="shared" si="26"/>
        <v>Y</v>
      </c>
      <c r="R59" s="201" t="str">
        <f t="shared" si="13"/>
        <v>○</v>
      </c>
      <c r="S59" s="201">
        <f t="shared" si="14"/>
        <v>7</v>
      </c>
      <c r="T59" s="201">
        <f t="shared" si="15"/>
        <v>3</v>
      </c>
      <c r="U59" s="218">
        <f t="shared" si="9"/>
        <v>53</v>
      </c>
      <c r="V59" s="205" t="str">
        <f t="shared" si="11"/>
        <v>0</v>
      </c>
      <c r="W59" s="206">
        <f t="shared" si="12"/>
        <v>43352</v>
      </c>
      <c r="AD59" s="174" t="s">
        <v>324</v>
      </c>
      <c r="AE59" s="174" t="s">
        <v>329</v>
      </c>
      <c r="AF59" s="316" t="s">
        <v>395</v>
      </c>
    </row>
    <row r="60" spans="1:32" ht="14.25">
      <c r="A60" s="21">
        <f t="shared" si="18"/>
        <v>54</v>
      </c>
      <c r="B60" s="151">
        <v>43352</v>
      </c>
      <c r="C60" s="499">
        <v>1</v>
      </c>
      <c r="D60" s="553">
        <v>43408</v>
      </c>
      <c r="E60" s="554">
        <v>3</v>
      </c>
      <c r="F60" s="330" t="str">
        <f t="shared" si="22"/>
        <v>サンデーズＪｒＢ</v>
      </c>
      <c r="G60" s="201" t="str">
        <f t="shared" si="7"/>
        <v>G</v>
      </c>
      <c r="H60" s="297">
        <v>1</v>
      </c>
      <c r="I60" s="330" t="str">
        <f t="shared" si="23"/>
        <v>サンデーズＪｒＡ</v>
      </c>
      <c r="J60" s="201" t="str">
        <f t="shared" si="8"/>
        <v>B</v>
      </c>
      <c r="K60" s="297">
        <v>26</v>
      </c>
      <c r="L60" s="201" t="str">
        <f t="shared" si="16"/>
        <v>●</v>
      </c>
      <c r="M60" s="530" t="s">
        <v>446</v>
      </c>
      <c r="N60" s="201" t="str">
        <f t="shared" si="24"/>
        <v>BG</v>
      </c>
      <c r="O60" s="201">
        <f>COUNTIF($N$7:N60,N60)</f>
        <v>3</v>
      </c>
      <c r="P60" s="201" t="str">
        <f t="shared" si="25"/>
        <v>BG3</v>
      </c>
      <c r="Q60" s="201" t="str">
        <f t="shared" si="26"/>
        <v>Y</v>
      </c>
      <c r="R60" s="201" t="str">
        <f t="shared" si="13"/>
        <v>○</v>
      </c>
      <c r="S60" s="201">
        <f t="shared" si="14"/>
        <v>26</v>
      </c>
      <c r="T60" s="201">
        <f t="shared" si="15"/>
        <v>1</v>
      </c>
      <c r="U60" s="218">
        <f t="shared" si="9"/>
        <v>54</v>
      </c>
      <c r="V60" s="205" t="str">
        <f t="shared" si="11"/>
        <v>0</v>
      </c>
      <c r="W60" s="206">
        <f t="shared" si="12"/>
        <v>43359</v>
      </c>
      <c r="AD60" s="174" t="s">
        <v>325</v>
      </c>
      <c r="AE60" s="174" t="s">
        <v>330</v>
      </c>
      <c r="AF60" s="316" t="s">
        <v>395</v>
      </c>
    </row>
    <row r="61" spans="1:32" ht="14.25">
      <c r="A61" s="21">
        <f t="shared" si="18"/>
        <v>55</v>
      </c>
      <c r="B61" s="151">
        <v>43352</v>
      </c>
      <c r="C61" s="500">
        <v>2</v>
      </c>
      <c r="D61" s="553">
        <v>43408</v>
      </c>
      <c r="E61" s="554">
        <v>4</v>
      </c>
      <c r="F61" s="330" t="str">
        <f t="shared" si="22"/>
        <v>ファイターズＡ</v>
      </c>
      <c r="G61" s="201" t="str">
        <f t="shared" si="7"/>
        <v>A</v>
      </c>
      <c r="H61" s="297">
        <v>8</v>
      </c>
      <c r="I61" s="330" t="str">
        <f t="shared" si="23"/>
        <v>パイレーツ</v>
      </c>
      <c r="J61" s="201" t="str">
        <f t="shared" si="8"/>
        <v>E</v>
      </c>
      <c r="K61" s="297">
        <v>1</v>
      </c>
      <c r="L61" s="201" t="str">
        <f t="shared" si="16"/>
        <v>○</v>
      </c>
      <c r="M61" s="530" t="s">
        <v>452</v>
      </c>
      <c r="N61" s="201" t="str">
        <f t="shared" si="24"/>
        <v>AE</v>
      </c>
      <c r="O61" s="201">
        <f>COUNTIF($N$7:N61,N61)</f>
        <v>3</v>
      </c>
      <c r="P61" s="201" t="str">
        <f t="shared" si="25"/>
        <v>AE3</v>
      </c>
      <c r="Q61" s="201" t="str">
        <f t="shared" si="26"/>
        <v>N</v>
      </c>
      <c r="R61" s="201" t="str">
        <f t="shared" si="13"/>
        <v>○</v>
      </c>
      <c r="S61" s="201">
        <f t="shared" si="14"/>
        <v>8</v>
      </c>
      <c r="T61" s="201">
        <f t="shared" si="15"/>
        <v>1</v>
      </c>
      <c r="U61" s="218">
        <f t="shared" si="9"/>
        <v>55</v>
      </c>
      <c r="V61" s="205" t="str">
        <f t="shared" si="11"/>
        <v>0</v>
      </c>
      <c r="W61" s="206">
        <f t="shared" si="12"/>
        <v>43408</v>
      </c>
      <c r="AD61" s="174" t="s">
        <v>326</v>
      </c>
      <c r="AE61" s="174" t="s">
        <v>313</v>
      </c>
      <c r="AF61" s="316" t="s">
        <v>395</v>
      </c>
    </row>
    <row r="62" spans="1:23" ht="14.25">
      <c r="A62" s="21">
        <f t="shared" si="18"/>
        <v>56</v>
      </c>
      <c r="B62" s="151">
        <v>43352</v>
      </c>
      <c r="C62" s="500">
        <v>3</v>
      </c>
      <c r="D62" s="555">
        <v>43359</v>
      </c>
      <c r="E62" s="787">
        <v>3</v>
      </c>
      <c r="F62" s="561" t="str">
        <f t="shared" si="22"/>
        <v>ベアーズ</v>
      </c>
      <c r="G62" s="788" t="str">
        <f t="shared" si="7"/>
        <v>F</v>
      </c>
      <c r="H62" s="789">
        <v>5</v>
      </c>
      <c r="I62" s="561" t="str">
        <f t="shared" si="23"/>
        <v>ファイターズＢ</v>
      </c>
      <c r="J62" s="788" t="str">
        <f t="shared" si="8"/>
        <v>C</v>
      </c>
      <c r="K62" s="789">
        <v>7</v>
      </c>
      <c r="L62" s="788" t="str">
        <f t="shared" si="16"/>
        <v>●</v>
      </c>
      <c r="M62" s="530" t="s">
        <v>471</v>
      </c>
      <c r="N62" s="201" t="str">
        <f t="shared" si="24"/>
        <v>CF</v>
      </c>
      <c r="O62" s="201">
        <f>COUNTIF($N$7:N62,N62)</f>
        <v>3</v>
      </c>
      <c r="P62" s="201" t="str">
        <f t="shared" si="25"/>
        <v>CF3</v>
      </c>
      <c r="Q62" s="201" t="str">
        <f t="shared" si="26"/>
        <v>Y</v>
      </c>
      <c r="R62" s="201" t="str">
        <f t="shared" si="13"/>
        <v>○</v>
      </c>
      <c r="S62" s="201">
        <f t="shared" si="14"/>
        <v>7</v>
      </c>
      <c r="T62" s="201">
        <f t="shared" si="15"/>
        <v>5</v>
      </c>
      <c r="U62" s="218">
        <f t="shared" si="9"/>
        <v>56</v>
      </c>
      <c r="V62" s="205" t="str">
        <f t="shared" si="11"/>
        <v>0</v>
      </c>
      <c r="W62" s="206">
        <f t="shared" si="12"/>
        <v>43408</v>
      </c>
    </row>
    <row r="63" spans="1:23" ht="14.25">
      <c r="A63" s="21">
        <f t="shared" si="18"/>
        <v>57</v>
      </c>
      <c r="B63" s="151">
        <v>43359</v>
      </c>
      <c r="C63" s="499">
        <v>1</v>
      </c>
      <c r="D63" s="553">
        <v>43394</v>
      </c>
      <c r="E63" s="554">
        <v>3</v>
      </c>
      <c r="F63" s="330" t="str">
        <f t="shared" si="22"/>
        <v>クッパーズＪｒ</v>
      </c>
      <c r="G63" s="201" t="str">
        <f aca="true" t="shared" si="27" ref="G63:G69">MID(M63,1,1)</f>
        <v>D</v>
      </c>
      <c r="H63" s="297">
        <v>6</v>
      </c>
      <c r="I63" s="330" t="str">
        <f t="shared" si="23"/>
        <v>パイレーツ</v>
      </c>
      <c r="J63" s="201" t="str">
        <f aca="true" t="shared" si="28" ref="J63:J69">MID(M63,2,1)</f>
        <v>E</v>
      </c>
      <c r="K63" s="297">
        <v>6</v>
      </c>
      <c r="L63" s="201" t="str">
        <f aca="true" t="shared" si="29" ref="L63:L69">IF(H63="","",IF(H63=K63,"△",IF(H63&gt;K63,"○","●")))</f>
        <v>△</v>
      </c>
      <c r="M63" s="530" t="s">
        <v>450</v>
      </c>
      <c r="N63" s="201" t="str">
        <f t="shared" si="24"/>
        <v>DE</v>
      </c>
      <c r="O63" s="201">
        <f>COUNTIF($N$7:N63,N63)</f>
        <v>3</v>
      </c>
      <c r="P63" s="201" t="str">
        <f aca="true" t="shared" si="30" ref="P63:P69">CONCATENATE(N63,O63)</f>
        <v>DE3</v>
      </c>
      <c r="Q63" s="201" t="str">
        <f aca="true" t="shared" si="31" ref="Q63:Q69">VLOOKUP(M63,$AD$6:$AF$61,3,FALSE)</f>
        <v>N</v>
      </c>
      <c r="R63" s="201" t="str">
        <f aca="true" t="shared" si="32" ref="R63:R69">IF(L63="","",IF(Q63="N",L63,VLOOKUP(L63,$Z$21:$AA$23,2,FALSE)))</f>
        <v>△</v>
      </c>
      <c r="S63" s="201">
        <f aca="true" t="shared" si="33" ref="S63:S69">IF(L63="","",IF(Q63="N",H63,K63))</f>
        <v>6</v>
      </c>
      <c r="T63" s="201">
        <f aca="true" t="shared" si="34" ref="T63:T69">IF(L63="","",IF(Q63="N",K63,H63))</f>
        <v>6</v>
      </c>
      <c r="U63" s="218">
        <f aca="true" t="shared" si="35" ref="U63:U69">A63</f>
        <v>57</v>
      </c>
      <c r="V63" s="205" t="str">
        <f aca="true" t="shared" si="36" ref="V63:V70">IF(AND(H63&lt;&gt;"",K63&lt;&gt;""),"0","1")</f>
        <v>0</v>
      </c>
      <c r="W63" s="206">
        <f aca="true" t="shared" si="37" ref="W63:W69">IF(D62&lt;&gt;"",D62,B62)</f>
        <v>43359</v>
      </c>
    </row>
    <row r="64" spans="1:23" ht="14.25">
      <c r="A64" s="21">
        <f t="shared" si="18"/>
        <v>58</v>
      </c>
      <c r="B64" s="151">
        <v>43359</v>
      </c>
      <c r="C64" s="152">
        <v>2</v>
      </c>
      <c r="D64" s="535">
        <v>43240</v>
      </c>
      <c r="E64" s="536">
        <v>2</v>
      </c>
      <c r="F64" s="329" t="str">
        <f t="shared" si="22"/>
        <v>ベアーズ</v>
      </c>
      <c r="G64" s="221" t="str">
        <f t="shared" si="27"/>
        <v>F</v>
      </c>
      <c r="H64" s="299">
        <v>2</v>
      </c>
      <c r="I64" s="329" t="str">
        <f t="shared" si="23"/>
        <v>サンデーズＪｒＡ</v>
      </c>
      <c r="J64" s="221" t="str">
        <f t="shared" si="28"/>
        <v>B</v>
      </c>
      <c r="K64" s="299">
        <v>20</v>
      </c>
      <c r="L64" s="221" t="str">
        <f t="shared" si="29"/>
        <v>●</v>
      </c>
      <c r="M64" s="199" t="s">
        <v>476</v>
      </c>
      <c r="N64" s="201" t="str">
        <f t="shared" si="24"/>
        <v>BF</v>
      </c>
      <c r="O64" s="201">
        <f>COUNTIF($N$7:N64,N64)</f>
        <v>3</v>
      </c>
      <c r="P64" s="201" t="str">
        <f t="shared" si="30"/>
        <v>BF3</v>
      </c>
      <c r="Q64" s="201" t="str">
        <f t="shared" si="31"/>
        <v>Y</v>
      </c>
      <c r="R64" s="201" t="str">
        <f t="shared" si="32"/>
        <v>○</v>
      </c>
      <c r="S64" s="201">
        <f t="shared" si="33"/>
        <v>20</v>
      </c>
      <c r="T64" s="201">
        <f t="shared" si="34"/>
        <v>2</v>
      </c>
      <c r="U64" s="218">
        <f t="shared" si="35"/>
        <v>58</v>
      </c>
      <c r="V64" s="205" t="str">
        <f t="shared" si="36"/>
        <v>0</v>
      </c>
      <c r="W64" s="206">
        <f t="shared" si="37"/>
        <v>43394</v>
      </c>
    </row>
    <row r="65" spans="1:23" ht="14.25">
      <c r="A65" s="21">
        <f t="shared" si="18"/>
        <v>59</v>
      </c>
      <c r="B65" s="151">
        <v>43359</v>
      </c>
      <c r="C65" s="152">
        <v>3</v>
      </c>
      <c r="D65" s="537">
        <v>43240</v>
      </c>
      <c r="E65" s="538">
        <v>3</v>
      </c>
      <c r="F65" s="506" t="str">
        <f t="shared" si="22"/>
        <v>クッパーズＪｒ</v>
      </c>
      <c r="G65" s="507" t="str">
        <f t="shared" si="27"/>
        <v>D</v>
      </c>
      <c r="H65" s="508">
        <v>13</v>
      </c>
      <c r="I65" s="506" t="str">
        <f t="shared" si="23"/>
        <v>ベアーズ</v>
      </c>
      <c r="J65" s="507" t="str">
        <f t="shared" si="28"/>
        <v>F</v>
      </c>
      <c r="K65" s="508">
        <v>0</v>
      </c>
      <c r="L65" s="507" t="str">
        <f t="shared" si="29"/>
        <v>○</v>
      </c>
      <c r="M65" s="199" t="s">
        <v>448</v>
      </c>
      <c r="N65" s="201" t="str">
        <f t="shared" si="24"/>
        <v>DF</v>
      </c>
      <c r="O65" s="201">
        <f>COUNTIF($N$7:N65,N65)</f>
        <v>3</v>
      </c>
      <c r="P65" s="201" t="str">
        <f t="shared" si="30"/>
        <v>DF3</v>
      </c>
      <c r="Q65" s="201" t="str">
        <f t="shared" si="31"/>
        <v>N</v>
      </c>
      <c r="R65" s="201" t="str">
        <f t="shared" si="32"/>
        <v>○</v>
      </c>
      <c r="S65" s="201">
        <f t="shared" si="33"/>
        <v>13</v>
      </c>
      <c r="T65" s="201">
        <f t="shared" si="34"/>
        <v>0</v>
      </c>
      <c r="U65" s="218">
        <f t="shared" si="35"/>
        <v>59</v>
      </c>
      <c r="V65" s="205" t="str">
        <f t="shared" si="36"/>
        <v>0</v>
      </c>
      <c r="W65" s="206">
        <f t="shared" si="37"/>
        <v>43240</v>
      </c>
    </row>
    <row r="66" spans="1:23" ht="14.25">
      <c r="A66" s="21">
        <f t="shared" si="18"/>
        <v>60</v>
      </c>
      <c r="B66" s="151">
        <v>43359</v>
      </c>
      <c r="C66" s="500">
        <v>4</v>
      </c>
      <c r="D66" s="553">
        <v>43394</v>
      </c>
      <c r="E66" s="554">
        <v>4</v>
      </c>
      <c r="F66" s="330" t="str">
        <f t="shared" si="22"/>
        <v>サンデーズＪｒＢ</v>
      </c>
      <c r="G66" s="201" t="str">
        <f t="shared" si="27"/>
        <v>G</v>
      </c>
      <c r="H66" s="297">
        <v>2</v>
      </c>
      <c r="I66" s="330" t="str">
        <f t="shared" si="23"/>
        <v>ファイターズＡ</v>
      </c>
      <c r="J66" s="201" t="str">
        <f t="shared" si="28"/>
        <v>A</v>
      </c>
      <c r="K66" s="297">
        <v>18</v>
      </c>
      <c r="L66" s="201" t="str">
        <f t="shared" si="29"/>
        <v>●</v>
      </c>
      <c r="M66" s="530" t="s">
        <v>462</v>
      </c>
      <c r="N66" s="201" t="str">
        <f t="shared" si="24"/>
        <v>AG</v>
      </c>
      <c r="O66" s="201">
        <f>COUNTIF($N$7:N66,N66)</f>
        <v>3</v>
      </c>
      <c r="P66" s="201" t="str">
        <f t="shared" si="30"/>
        <v>AG3</v>
      </c>
      <c r="Q66" s="201" t="str">
        <f t="shared" si="31"/>
        <v>Y</v>
      </c>
      <c r="R66" s="201" t="str">
        <f t="shared" si="32"/>
        <v>○</v>
      </c>
      <c r="S66" s="201">
        <f t="shared" si="33"/>
        <v>18</v>
      </c>
      <c r="T66" s="201">
        <f t="shared" si="34"/>
        <v>2</v>
      </c>
      <c r="U66" s="218">
        <f t="shared" si="35"/>
        <v>60</v>
      </c>
      <c r="V66" s="205" t="str">
        <f t="shared" si="36"/>
        <v>0</v>
      </c>
      <c r="W66" s="206">
        <f t="shared" si="37"/>
        <v>43240</v>
      </c>
    </row>
    <row r="67" spans="1:23" ht="14.25">
      <c r="A67" s="21">
        <f t="shared" si="18"/>
        <v>61</v>
      </c>
      <c r="B67" s="151">
        <v>43373</v>
      </c>
      <c r="C67" s="500">
        <v>1</v>
      </c>
      <c r="D67" s="555">
        <v>43359</v>
      </c>
      <c r="E67" s="557">
        <v>2</v>
      </c>
      <c r="F67" s="558" t="str">
        <f t="shared" si="22"/>
        <v>ファイターズＢ</v>
      </c>
      <c r="G67" s="559" t="str">
        <f t="shared" si="27"/>
        <v>C</v>
      </c>
      <c r="H67" s="560">
        <v>4</v>
      </c>
      <c r="I67" s="561" t="str">
        <f t="shared" si="23"/>
        <v>ファイターズＡ</v>
      </c>
      <c r="J67" s="559" t="str">
        <f t="shared" si="28"/>
        <v>A</v>
      </c>
      <c r="K67" s="560">
        <v>2</v>
      </c>
      <c r="L67" s="559" t="str">
        <f t="shared" si="29"/>
        <v>○</v>
      </c>
      <c r="M67" s="530" t="s">
        <v>475</v>
      </c>
      <c r="N67" s="201" t="str">
        <f t="shared" si="24"/>
        <v>AC</v>
      </c>
      <c r="O67" s="201">
        <f>COUNTIF($N$7:N67,N67)</f>
        <v>3</v>
      </c>
      <c r="P67" s="201" t="str">
        <f t="shared" si="30"/>
        <v>AC3</v>
      </c>
      <c r="Q67" s="201" t="str">
        <f t="shared" si="31"/>
        <v>Y</v>
      </c>
      <c r="R67" s="201" t="str">
        <f t="shared" si="32"/>
        <v>●</v>
      </c>
      <c r="S67" s="201">
        <f t="shared" si="33"/>
        <v>2</v>
      </c>
      <c r="T67" s="201">
        <f t="shared" si="34"/>
        <v>4</v>
      </c>
      <c r="U67" s="218">
        <f t="shared" si="35"/>
        <v>61</v>
      </c>
      <c r="V67" s="205" t="str">
        <f t="shared" si="36"/>
        <v>0</v>
      </c>
      <c r="W67" s="206">
        <f t="shared" si="37"/>
        <v>43394</v>
      </c>
    </row>
    <row r="68" spans="1:23" ht="14.25">
      <c r="A68" s="21">
        <f t="shared" si="18"/>
        <v>62</v>
      </c>
      <c r="B68" s="151">
        <v>43373</v>
      </c>
      <c r="C68" s="500">
        <v>2</v>
      </c>
      <c r="D68" s="553">
        <v>43408</v>
      </c>
      <c r="E68" s="575">
        <v>1</v>
      </c>
      <c r="F68" s="330" t="str">
        <f t="shared" si="22"/>
        <v>サンデーズＪｒＢ</v>
      </c>
      <c r="G68" s="201" t="str">
        <f t="shared" si="27"/>
        <v>G</v>
      </c>
      <c r="H68" s="297">
        <v>9</v>
      </c>
      <c r="I68" s="330" t="str">
        <f t="shared" si="23"/>
        <v>クッパーズＪｒ</v>
      </c>
      <c r="J68" s="201" t="str">
        <f t="shared" si="28"/>
        <v>D</v>
      </c>
      <c r="K68" s="297">
        <v>10</v>
      </c>
      <c r="L68" s="201" t="str">
        <f t="shared" si="29"/>
        <v>●</v>
      </c>
      <c r="M68" s="530" t="s">
        <v>461</v>
      </c>
      <c r="N68" s="201" t="str">
        <f t="shared" si="24"/>
        <v>DG</v>
      </c>
      <c r="O68" s="201">
        <f>COUNTIF($N$7:N68,N68)</f>
        <v>3</v>
      </c>
      <c r="P68" s="201" t="str">
        <f t="shared" si="30"/>
        <v>DG3</v>
      </c>
      <c r="Q68" s="201" t="str">
        <f t="shared" si="31"/>
        <v>Y</v>
      </c>
      <c r="R68" s="201" t="str">
        <f t="shared" si="32"/>
        <v>○</v>
      </c>
      <c r="S68" s="201">
        <f t="shared" si="33"/>
        <v>10</v>
      </c>
      <c r="T68" s="201">
        <f t="shared" si="34"/>
        <v>9</v>
      </c>
      <c r="U68" s="218">
        <f t="shared" si="35"/>
        <v>62</v>
      </c>
      <c r="V68" s="205" t="str">
        <f t="shared" si="36"/>
        <v>0</v>
      </c>
      <c r="W68" s="206">
        <f t="shared" si="37"/>
        <v>43359</v>
      </c>
    </row>
    <row r="69" spans="1:23" ht="14.25">
      <c r="A69" s="313">
        <f t="shared" si="18"/>
        <v>63</v>
      </c>
      <c r="B69" s="151">
        <v>43373</v>
      </c>
      <c r="C69" s="500">
        <v>3</v>
      </c>
      <c r="D69" s="553">
        <v>43408</v>
      </c>
      <c r="E69" s="575">
        <v>2</v>
      </c>
      <c r="F69" s="330" t="str">
        <f t="shared" si="22"/>
        <v>パイレーツ</v>
      </c>
      <c r="G69" s="201" t="str">
        <f t="shared" si="27"/>
        <v>E</v>
      </c>
      <c r="H69" s="297">
        <v>5</v>
      </c>
      <c r="I69" s="330" t="str">
        <f t="shared" si="23"/>
        <v>サンデーズＪｒＡ</v>
      </c>
      <c r="J69" s="201" t="str">
        <f t="shared" si="28"/>
        <v>B</v>
      </c>
      <c r="K69" s="297">
        <v>12</v>
      </c>
      <c r="L69" s="201" t="str">
        <f t="shared" si="29"/>
        <v>●</v>
      </c>
      <c r="M69" s="530" t="s">
        <v>477</v>
      </c>
      <c r="N69" s="201" t="str">
        <f t="shared" si="24"/>
        <v>BE</v>
      </c>
      <c r="O69" s="201">
        <f>COUNTIF($N$7:N69,N69)</f>
        <v>3</v>
      </c>
      <c r="P69" s="201" t="str">
        <f t="shared" si="30"/>
        <v>BE3</v>
      </c>
      <c r="Q69" s="201" t="str">
        <f t="shared" si="31"/>
        <v>Y</v>
      </c>
      <c r="R69" s="201" t="str">
        <f t="shared" si="32"/>
        <v>○</v>
      </c>
      <c r="S69" s="201">
        <f t="shared" si="33"/>
        <v>12</v>
      </c>
      <c r="T69" s="201">
        <f t="shared" si="34"/>
        <v>5</v>
      </c>
      <c r="U69" s="218">
        <f t="shared" si="35"/>
        <v>63</v>
      </c>
      <c r="V69" s="205" t="str">
        <f t="shared" si="36"/>
        <v>0</v>
      </c>
      <c r="W69" s="206">
        <f t="shared" si="37"/>
        <v>43408</v>
      </c>
    </row>
    <row r="70" spans="1:24" ht="14.25">
      <c r="A70" s="35"/>
      <c r="B70" s="317"/>
      <c r="C70" s="318"/>
      <c r="D70" s="317"/>
      <c r="E70" s="318"/>
      <c r="F70" s="319"/>
      <c r="G70" s="43"/>
      <c r="H70" s="318"/>
      <c r="I70" s="319"/>
      <c r="J70" s="43"/>
      <c r="K70" s="318"/>
      <c r="L70" s="43"/>
      <c r="M70" s="43"/>
      <c r="N70" s="43"/>
      <c r="O70" s="43"/>
      <c r="P70" s="43"/>
      <c r="Q70" s="43"/>
      <c r="R70" s="43"/>
      <c r="S70" s="43"/>
      <c r="T70" s="43"/>
      <c r="U70" s="320"/>
      <c r="V70" s="205" t="str">
        <f t="shared" si="36"/>
        <v>1</v>
      </c>
      <c r="W70" s="206" t="s">
        <v>249</v>
      </c>
      <c r="X70" s="2" t="s">
        <v>250</v>
      </c>
    </row>
    <row r="71" spans="2:11" ht="14.25">
      <c r="B71" s="99"/>
      <c r="K71" s="100"/>
    </row>
    <row r="72" spans="2:11" ht="14.25">
      <c r="B72" s="99"/>
      <c r="K72" s="100"/>
    </row>
    <row r="73" spans="2:11" ht="14.25">
      <c r="B73" s="99"/>
      <c r="K73" s="100"/>
    </row>
    <row r="74" spans="2:11" ht="14.25">
      <c r="B74" s="99"/>
      <c r="K74" s="100"/>
    </row>
    <row r="75" spans="2:10" ht="15" thickBot="1">
      <c r="B75" s="42"/>
      <c r="E75" s="742" t="s">
        <v>342</v>
      </c>
      <c r="F75" s="742"/>
      <c r="G75" s="177" t="s">
        <v>362</v>
      </c>
      <c r="H75" s="177"/>
      <c r="I75" s="178"/>
      <c r="J75" s="177" t="s">
        <v>362</v>
      </c>
    </row>
    <row r="76" spans="5:11" ht="15" thickBot="1">
      <c r="E76" s="179" t="s">
        <v>7</v>
      </c>
      <c r="F76" s="180" t="s">
        <v>68</v>
      </c>
      <c r="G76" s="180" t="s">
        <v>336</v>
      </c>
      <c r="H76" s="181"/>
      <c r="I76" s="182"/>
      <c r="J76" s="180" t="s">
        <v>337</v>
      </c>
      <c r="K76" s="198" t="s">
        <v>353</v>
      </c>
    </row>
    <row r="77" spans="5:22" ht="14.25">
      <c r="E77" s="183" t="str">
        <f aca="true" t="shared" si="38" ref="E77:E84">Y7</f>
        <v>A</v>
      </c>
      <c r="F77" s="327" t="str">
        <f>VLOOKUP(E77,$Y$7:$Z$14,2,FALSE)</f>
        <v>ファイターズＡ</v>
      </c>
      <c r="G77" s="202">
        <f aca="true" t="shared" si="39" ref="G77:G84">COUNTIF($G$7:$G$69,E77)</f>
        <v>8</v>
      </c>
      <c r="H77" s="184"/>
      <c r="I77" s="185"/>
      <c r="J77" s="202">
        <f aca="true" t="shared" si="40" ref="J77:J84">COUNTIF($J$7:$J$69,E77)</f>
        <v>10</v>
      </c>
      <c r="K77" s="186">
        <f>G77+J77</f>
        <v>18</v>
      </c>
      <c r="V77" s="55"/>
    </row>
    <row r="78" spans="5:11" ht="14.25">
      <c r="E78" s="187" t="str">
        <f t="shared" si="38"/>
        <v>B</v>
      </c>
      <c r="F78" s="328" t="str">
        <f aca="true" t="shared" si="41" ref="F78:F84">VLOOKUP(E78,$Y$7:$Z$14,2,FALSE)</f>
        <v>サンデーズＪｒＡ</v>
      </c>
      <c r="G78" s="8">
        <f t="shared" si="39"/>
        <v>7</v>
      </c>
      <c r="H78" s="188"/>
      <c r="I78" s="189"/>
      <c r="J78" s="8">
        <f t="shared" si="40"/>
        <v>11</v>
      </c>
      <c r="K78" s="143">
        <f aca="true" t="shared" si="42" ref="K78:K84">G78+J78</f>
        <v>18</v>
      </c>
    </row>
    <row r="79" spans="5:11" ht="14.25">
      <c r="E79" s="190" t="str">
        <f t="shared" si="38"/>
        <v>C</v>
      </c>
      <c r="F79" s="328" t="str">
        <f t="shared" si="41"/>
        <v>ファイターズＢ</v>
      </c>
      <c r="G79" s="8">
        <f t="shared" si="39"/>
        <v>7</v>
      </c>
      <c r="H79" s="188"/>
      <c r="I79" s="189"/>
      <c r="J79" s="8">
        <f t="shared" si="40"/>
        <v>11</v>
      </c>
      <c r="K79" s="9">
        <f t="shared" si="42"/>
        <v>18</v>
      </c>
    </row>
    <row r="80" spans="5:11" ht="14.25">
      <c r="E80" s="191" t="str">
        <f t="shared" si="38"/>
        <v>D</v>
      </c>
      <c r="F80" s="328" t="str">
        <f t="shared" si="41"/>
        <v>クッパーズＪｒ</v>
      </c>
      <c r="G80" s="8">
        <f t="shared" si="39"/>
        <v>8</v>
      </c>
      <c r="H80" s="188"/>
      <c r="I80" s="189"/>
      <c r="J80" s="8">
        <f t="shared" si="40"/>
        <v>10</v>
      </c>
      <c r="K80" s="9">
        <f t="shared" si="42"/>
        <v>18</v>
      </c>
    </row>
    <row r="81" spans="5:11" ht="14.25">
      <c r="E81" s="192" t="str">
        <f t="shared" si="38"/>
        <v>E</v>
      </c>
      <c r="F81" s="328" t="str">
        <f t="shared" si="41"/>
        <v>パイレーツ</v>
      </c>
      <c r="G81" s="8">
        <f t="shared" si="39"/>
        <v>8</v>
      </c>
      <c r="H81" s="188"/>
      <c r="I81" s="189"/>
      <c r="J81" s="8">
        <f t="shared" si="40"/>
        <v>10</v>
      </c>
      <c r="K81" s="9">
        <f t="shared" si="42"/>
        <v>18</v>
      </c>
    </row>
    <row r="82" spans="5:11" ht="14.25">
      <c r="E82" s="193" t="str">
        <f t="shared" si="38"/>
        <v>F</v>
      </c>
      <c r="F82" s="328" t="str">
        <f t="shared" si="41"/>
        <v>ベアーズ</v>
      </c>
      <c r="G82" s="8">
        <f t="shared" si="39"/>
        <v>7</v>
      </c>
      <c r="H82" s="188"/>
      <c r="I82" s="189"/>
      <c r="J82" s="8">
        <f t="shared" si="40"/>
        <v>11</v>
      </c>
      <c r="K82" s="9">
        <f t="shared" si="42"/>
        <v>18</v>
      </c>
    </row>
    <row r="83" spans="5:11" ht="14.25">
      <c r="E83" s="204" t="str">
        <f t="shared" si="38"/>
        <v>G</v>
      </c>
      <c r="F83" s="328" t="str">
        <f t="shared" si="41"/>
        <v>サンデーズＪｒＢ</v>
      </c>
      <c r="G83" s="8">
        <f t="shared" si="39"/>
        <v>18</v>
      </c>
      <c r="H83" s="188"/>
      <c r="I83" s="189"/>
      <c r="J83" s="8">
        <f t="shared" si="40"/>
        <v>0</v>
      </c>
      <c r="K83" s="9">
        <f t="shared" si="42"/>
        <v>18</v>
      </c>
    </row>
    <row r="84" spans="5:11" ht="15" thickBot="1">
      <c r="E84" s="321" t="str">
        <f t="shared" si="38"/>
        <v>H</v>
      </c>
      <c r="F84" s="322" t="str">
        <f t="shared" si="41"/>
        <v>Dummy</v>
      </c>
      <c r="G84" s="323">
        <f t="shared" si="39"/>
        <v>0</v>
      </c>
      <c r="H84" s="324"/>
      <c r="I84" s="325"/>
      <c r="J84" s="323">
        <f t="shared" si="40"/>
        <v>0</v>
      </c>
      <c r="K84" s="326">
        <f t="shared" si="42"/>
        <v>0</v>
      </c>
    </row>
    <row r="85" spans="5:11" ht="15" thickBot="1">
      <c r="E85" s="740" t="s">
        <v>353</v>
      </c>
      <c r="F85" s="741"/>
      <c r="G85" s="194">
        <f>SUM(G77:G84)</f>
        <v>63</v>
      </c>
      <c r="H85" s="195"/>
      <c r="I85" s="196"/>
      <c r="J85" s="194">
        <f>SUM(J77:J84)</f>
        <v>63</v>
      </c>
      <c r="K85" s="197"/>
    </row>
  </sheetData>
  <sheetProtection/>
  <mergeCells count="29">
    <mergeCell ref="AH1:AP1"/>
    <mergeCell ref="Y1:AF1"/>
    <mergeCell ref="A1:M1"/>
    <mergeCell ref="N1:W1"/>
    <mergeCell ref="AA5:AA6"/>
    <mergeCell ref="AB5:AB6"/>
    <mergeCell ref="Y3:AA3"/>
    <mergeCell ref="AD3:AF3"/>
    <mergeCell ref="I4:K4"/>
    <mergeCell ref="S4:T4"/>
    <mergeCell ref="R4:R5"/>
    <mergeCell ref="M3:T3"/>
    <mergeCell ref="M4:Q4"/>
    <mergeCell ref="B3:C3"/>
    <mergeCell ref="D3:E3"/>
    <mergeCell ref="B4:B5"/>
    <mergeCell ref="C4:C5"/>
    <mergeCell ref="D4:D5"/>
    <mergeCell ref="E4:E5"/>
    <mergeCell ref="E85:F85"/>
    <mergeCell ref="E75:F75"/>
    <mergeCell ref="AH2:AM2"/>
    <mergeCell ref="Z18:AA18"/>
    <mergeCell ref="L3:L4"/>
    <mergeCell ref="F3:K3"/>
    <mergeCell ref="F4:H4"/>
    <mergeCell ref="U4:U6"/>
    <mergeCell ref="Y5:Y6"/>
    <mergeCell ref="V3:W4"/>
  </mergeCells>
  <conditionalFormatting sqref="E7:E70 C7:C70">
    <cfRule type="cellIs" priority="1" dxfId="0" operator="lessThan" stopIfTrue="1">
      <formula>1</formula>
    </cfRule>
    <cfRule type="cellIs" priority="2" dxfId="0" operator="greaterThan" stopIfTrue="1">
      <formula>4</formula>
    </cfRule>
  </conditionalFormatting>
  <conditionalFormatting sqref="H7:H70 K7:K84">
    <cfRule type="cellIs" priority="3" dxfId="0" operator="lessThan" stopIfTrue="1">
      <formula>0</formula>
    </cfRule>
  </conditionalFormatting>
  <conditionalFormatting sqref="O7:O70">
    <cfRule type="cellIs" priority="4" dxfId="1" operator="greaterThan" stopIfTrue="1">
      <formula>6</formula>
    </cfRule>
  </conditionalFormatting>
  <conditionalFormatting sqref="I7:I69 F7:F69">
    <cfRule type="cellIs" priority="5" dxfId="1" operator="equal" stopIfTrue="1">
      <formula>""</formula>
    </cfRule>
  </conditionalFormatting>
  <conditionalFormatting sqref="AB7:AB14">
    <cfRule type="cellIs" priority="6" dxfId="1" operator="equal" stopIfTrue="1">
      <formula>"エラー"</formula>
    </cfRule>
  </conditionalFormatting>
  <printOptions/>
  <pageMargins left="0.75" right="0.75" top="1" bottom="1" header="0.512" footer="0.512"/>
  <pageSetup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tabColor indexed="16"/>
  </sheetPr>
  <dimension ref="A1:T74"/>
  <sheetViews>
    <sheetView showGridLines="0" workbookViewId="0" topLeftCell="A1">
      <selection activeCell="E6" sqref="E6"/>
    </sheetView>
  </sheetViews>
  <sheetFormatPr defaultColWidth="8.796875" defaultRowHeight="15"/>
  <cols>
    <col min="1" max="1" width="10.296875" style="0" customWidth="1"/>
    <col min="3" max="3" width="5.69921875" style="0" customWidth="1"/>
    <col min="4" max="4" width="14" style="0" customWidth="1"/>
    <col min="5" max="5" width="10.69921875" style="0" customWidth="1"/>
    <col min="6" max="6" width="3.19921875" style="0" customWidth="1"/>
    <col min="7" max="7" width="26.796875" style="0" customWidth="1"/>
    <col min="8" max="8" width="3.19921875" style="0" customWidth="1"/>
    <col min="9" max="9" width="26.69921875" style="0" customWidth="1"/>
    <col min="13" max="13" width="12.3984375" style="0" customWidth="1"/>
    <col min="14" max="14" width="11.5" style="284" bestFit="1" customWidth="1"/>
    <col min="16" max="16" width="14.09765625" style="0" customWidth="1"/>
    <col min="19" max="19" width="8.796875" style="288" customWidth="1"/>
  </cols>
  <sheetData>
    <row r="1" spans="1:20" ht="8.25" customHeight="1">
      <c r="A1" s="242"/>
      <c r="B1" s="243"/>
      <c r="C1" s="243"/>
      <c r="D1" s="243"/>
      <c r="E1" s="243"/>
      <c r="F1" s="243"/>
      <c r="G1" s="243"/>
      <c r="H1" s="243"/>
      <c r="I1" s="243"/>
      <c r="J1" s="243"/>
      <c r="K1" s="243"/>
      <c r="L1" s="244"/>
      <c r="M1" s="244"/>
      <c r="N1" s="278"/>
      <c r="O1" s="244"/>
      <c r="P1" s="244"/>
      <c r="Q1" s="244"/>
      <c r="R1" s="244"/>
      <c r="S1" s="286"/>
      <c r="T1" s="17"/>
    </row>
    <row r="2" spans="1:20" ht="29.25" customHeight="1">
      <c r="A2" s="242"/>
      <c r="B2" s="771" t="s">
        <v>414</v>
      </c>
      <c r="C2" s="771"/>
      <c r="D2" s="771"/>
      <c r="E2" s="773" t="s">
        <v>407</v>
      </c>
      <c r="F2" s="773"/>
      <c r="G2" s="773"/>
      <c r="H2" s="243"/>
      <c r="I2" s="243"/>
      <c r="J2" s="243"/>
      <c r="K2" s="243"/>
      <c r="L2" s="244"/>
      <c r="M2" s="244"/>
      <c r="N2" s="278"/>
      <c r="O2" s="244"/>
      <c r="P2" s="244"/>
      <c r="Q2" s="244"/>
      <c r="R2" s="244"/>
      <c r="S2" s="286"/>
      <c r="T2" s="17"/>
    </row>
    <row r="3" spans="1:20" ht="15" customHeight="1">
      <c r="A3" s="242"/>
      <c r="B3" s="243"/>
      <c r="C3" s="243"/>
      <c r="D3" s="243"/>
      <c r="E3" s="243"/>
      <c r="F3" s="243"/>
      <c r="G3" s="243"/>
      <c r="H3" s="243"/>
      <c r="I3" s="243"/>
      <c r="J3" s="243"/>
      <c r="K3" s="243"/>
      <c r="L3" s="244"/>
      <c r="M3" s="244"/>
      <c r="N3" s="278"/>
      <c r="O3" s="244"/>
      <c r="P3" s="244"/>
      <c r="Q3" s="244"/>
      <c r="R3" s="244"/>
      <c r="S3" s="286"/>
      <c r="T3" s="17"/>
    </row>
    <row r="4" spans="1:20" ht="12" customHeight="1" thickBot="1">
      <c r="A4" s="242"/>
      <c r="B4" s="243"/>
      <c r="C4" s="243"/>
      <c r="D4" s="243"/>
      <c r="E4" s="243"/>
      <c r="F4" s="243"/>
      <c r="G4" s="243"/>
      <c r="H4" s="243"/>
      <c r="I4" s="243"/>
      <c r="J4" s="242"/>
      <c r="K4" s="243"/>
      <c r="L4" s="244"/>
      <c r="M4" s="244"/>
      <c r="N4" s="278"/>
      <c r="O4" s="244"/>
      <c r="P4" s="244"/>
      <c r="Q4" s="244"/>
      <c r="R4" s="244"/>
      <c r="S4" s="286"/>
      <c r="T4" s="17"/>
    </row>
    <row r="5" spans="1:20" ht="24" customHeight="1" thickBot="1" thickTop="1">
      <c r="A5" s="242"/>
      <c r="B5" s="243"/>
      <c r="C5" s="243"/>
      <c r="D5" s="245" t="s">
        <v>382</v>
      </c>
      <c r="E5" s="246">
        <v>1</v>
      </c>
      <c r="F5" s="245" t="s">
        <v>381</v>
      </c>
      <c r="G5" s="772" t="s">
        <v>406</v>
      </c>
      <c r="H5" s="772"/>
      <c r="I5" s="772"/>
      <c r="J5" s="243"/>
      <c r="K5" s="243"/>
      <c r="L5" s="244"/>
      <c r="M5" s="244"/>
      <c r="N5" s="278"/>
      <c r="O5" s="244"/>
      <c r="P5" s="244"/>
      <c r="Q5" s="244"/>
      <c r="R5" s="244"/>
      <c r="S5" s="286"/>
      <c r="T5" s="17"/>
    </row>
    <row r="6" spans="1:20" ht="15" customHeight="1" thickTop="1">
      <c r="A6" s="242"/>
      <c r="B6" s="243"/>
      <c r="C6" s="243"/>
      <c r="D6" s="243"/>
      <c r="E6" s="247" t="s">
        <v>378</v>
      </c>
      <c r="F6" s="243"/>
      <c r="G6" s="774" t="s">
        <v>478</v>
      </c>
      <c r="H6" s="774"/>
      <c r="I6" s="774"/>
      <c r="J6" s="243"/>
      <c r="K6" s="243"/>
      <c r="L6" s="244"/>
      <c r="M6" s="244"/>
      <c r="N6" s="278"/>
      <c r="O6" s="244"/>
      <c r="P6" s="244"/>
      <c r="Q6" s="244"/>
      <c r="R6" s="244"/>
      <c r="S6" s="286"/>
      <c r="T6" s="17"/>
    </row>
    <row r="7" spans="1:20" ht="15" thickBot="1">
      <c r="A7" s="242"/>
      <c r="B7" s="243"/>
      <c r="C7" s="243"/>
      <c r="D7" s="243"/>
      <c r="E7" s="243"/>
      <c r="F7" s="243"/>
      <c r="G7" s="243"/>
      <c r="H7" s="243"/>
      <c r="I7" s="243"/>
      <c r="J7" s="243"/>
      <c r="K7" s="243"/>
      <c r="L7" s="244"/>
      <c r="M7" s="244"/>
      <c r="N7" s="278"/>
      <c r="O7" s="244"/>
      <c r="P7" s="244"/>
      <c r="Q7" s="244"/>
      <c r="R7" s="244"/>
      <c r="S7" s="286"/>
      <c r="T7" s="17"/>
    </row>
    <row r="8" spans="1:20" ht="14.25">
      <c r="A8" s="248"/>
      <c r="B8" s="249" t="s">
        <v>385</v>
      </c>
      <c r="C8" s="250"/>
      <c r="D8" s="249" t="s">
        <v>386</v>
      </c>
      <c r="E8" s="251" t="s">
        <v>11</v>
      </c>
      <c r="F8" s="250"/>
      <c r="G8" s="249" t="s">
        <v>383</v>
      </c>
      <c r="H8" s="250"/>
      <c r="I8" s="249" t="s">
        <v>384</v>
      </c>
      <c r="J8" s="252"/>
      <c r="K8" s="252"/>
      <c r="L8" s="253"/>
      <c r="M8" s="249" t="s">
        <v>377</v>
      </c>
      <c r="N8" s="279" t="s">
        <v>11</v>
      </c>
      <c r="O8" s="253"/>
      <c r="P8" s="249" t="s">
        <v>387</v>
      </c>
      <c r="Q8" s="251" t="s">
        <v>11</v>
      </c>
      <c r="R8" s="253"/>
      <c r="S8" s="779" t="s">
        <v>390</v>
      </c>
      <c r="T8" s="780"/>
    </row>
    <row r="9" spans="1:20" ht="15" thickBot="1">
      <c r="A9" s="248"/>
      <c r="B9" s="250"/>
      <c r="C9" s="250"/>
      <c r="D9" s="250"/>
      <c r="E9" s="250"/>
      <c r="F9" s="250"/>
      <c r="G9" s="250"/>
      <c r="H9" s="250"/>
      <c r="I9" s="250"/>
      <c r="J9" s="252"/>
      <c r="K9" s="252"/>
      <c r="L9" s="253"/>
      <c r="M9" s="250"/>
      <c r="N9" s="280"/>
      <c r="O9" s="253"/>
      <c r="P9" s="250"/>
      <c r="Q9" s="250"/>
      <c r="R9" s="253"/>
      <c r="S9" s="781"/>
      <c r="T9" s="782"/>
    </row>
    <row r="10" spans="1:20" ht="30" customHeight="1" thickBot="1" thickTop="1">
      <c r="A10" s="254"/>
      <c r="B10" s="255" t="str">
        <f>VLOOKUP(4*($E$5-1)+1,$S$12:$T$74,2,FALSE)</f>
        <v>01</v>
      </c>
      <c r="C10" s="256"/>
      <c r="D10" s="257">
        <f>IF(P10=0,M10,P10)</f>
        <v>43191</v>
      </c>
      <c r="E10" s="258">
        <f>IF(Q10=0,N10,Q10)</f>
        <v>1</v>
      </c>
      <c r="F10" s="259"/>
      <c r="G10" s="257" t="str">
        <f>VLOOKUP(B10,'素データ'!$A:$I,6,FALSE)</f>
        <v>ファイターズＡ</v>
      </c>
      <c r="H10" s="259"/>
      <c r="I10" s="257" t="str">
        <f>VLOOKUP(B10,'素データ'!$A:$I,9,FALSE)</f>
        <v>サンデーズＪｒＡ</v>
      </c>
      <c r="J10" s="260"/>
      <c r="K10" s="260"/>
      <c r="L10" s="261"/>
      <c r="M10" s="262">
        <f>VLOOKUP($B$10,'素データ'!$A:$T,2,FALSE)</f>
        <v>43191</v>
      </c>
      <c r="N10" s="281">
        <f>VLOOKUP($B$10,'素データ'!$A:$T,3,FALSE)</f>
        <v>1</v>
      </c>
      <c r="O10" s="261"/>
      <c r="P10" s="285">
        <f>VLOOKUP($B$10,'素データ'!$A:$T,4,FALSE)</f>
        <v>0</v>
      </c>
      <c r="Q10" s="263">
        <f>VLOOKUP($B$10,'素データ'!$A:$T,5,FALSE)</f>
        <v>0</v>
      </c>
      <c r="R10" s="261"/>
      <c r="S10" s="775" t="s">
        <v>389</v>
      </c>
      <c r="T10" s="777" t="s">
        <v>388</v>
      </c>
    </row>
    <row r="11" spans="1:20" ht="15" thickTop="1">
      <c r="A11" s="264"/>
      <c r="B11" s="265" t="s">
        <v>380</v>
      </c>
      <c r="C11" s="264"/>
      <c r="D11" s="770" t="s">
        <v>379</v>
      </c>
      <c r="E11" s="770"/>
      <c r="F11" s="266"/>
      <c r="G11" s="265" t="s">
        <v>379</v>
      </c>
      <c r="H11" s="266"/>
      <c r="I11" s="265" t="s">
        <v>379</v>
      </c>
      <c r="J11" s="264"/>
      <c r="K11" s="264"/>
      <c r="L11" s="267"/>
      <c r="M11" s="770" t="s">
        <v>379</v>
      </c>
      <c r="N11" s="770"/>
      <c r="O11" s="267"/>
      <c r="P11" s="770" t="s">
        <v>379</v>
      </c>
      <c r="Q11" s="770"/>
      <c r="R11" s="267"/>
      <c r="S11" s="776"/>
      <c r="T11" s="778"/>
    </row>
    <row r="12" spans="1:20" ht="14.25">
      <c r="A12" s="243"/>
      <c r="B12" s="243"/>
      <c r="C12" s="243"/>
      <c r="D12" s="243"/>
      <c r="E12" s="243"/>
      <c r="F12" s="243"/>
      <c r="G12" s="243"/>
      <c r="H12" s="243"/>
      <c r="I12" s="243"/>
      <c r="J12" s="243"/>
      <c r="K12" s="243"/>
      <c r="L12" s="244"/>
      <c r="M12" s="243"/>
      <c r="N12" s="282"/>
      <c r="O12" s="244"/>
      <c r="P12" s="243"/>
      <c r="Q12" s="243"/>
      <c r="R12" s="244"/>
      <c r="S12" s="287">
        <v>1</v>
      </c>
      <c r="T12" s="333" t="s">
        <v>368</v>
      </c>
    </row>
    <row r="13" spans="1:20" ht="15" thickBot="1">
      <c r="A13" s="243"/>
      <c r="B13" s="243"/>
      <c r="C13" s="243"/>
      <c r="D13" s="243"/>
      <c r="E13" s="243"/>
      <c r="F13" s="243"/>
      <c r="G13" s="243"/>
      <c r="H13" s="243"/>
      <c r="I13" s="243"/>
      <c r="J13" s="243"/>
      <c r="K13" s="243"/>
      <c r="L13" s="244"/>
      <c r="M13" s="243"/>
      <c r="N13" s="282"/>
      <c r="O13" s="244"/>
      <c r="P13" s="243"/>
      <c r="Q13" s="243"/>
      <c r="R13" s="244"/>
      <c r="S13" s="287">
        <v>2</v>
      </c>
      <c r="T13" s="333" t="s">
        <v>422</v>
      </c>
    </row>
    <row r="14" spans="1:20" ht="30" customHeight="1" thickBot="1" thickTop="1">
      <c r="A14" s="243"/>
      <c r="B14" s="255" t="str">
        <f>VLOOKUP(4*($E$5-1)+2,$S$12:$T$74,2,FALSE)</f>
        <v>02</v>
      </c>
      <c r="C14" s="256"/>
      <c r="D14" s="257">
        <f>IF(P14=0,M14,P14)</f>
        <v>43191</v>
      </c>
      <c r="E14" s="258">
        <f>IF(Q14=0,N14,Q14)</f>
        <v>2</v>
      </c>
      <c r="F14" s="259"/>
      <c r="G14" s="257" t="str">
        <f>VLOOKUP(B14,'素データ'!$A:$I,6,FALSE)</f>
        <v>サンデーズＪｒＢ</v>
      </c>
      <c r="H14" s="259"/>
      <c r="I14" s="257" t="str">
        <f>VLOOKUP(B14,'素データ'!$A:$I,9,FALSE)</f>
        <v>ファイターズＢ</v>
      </c>
      <c r="J14" s="243"/>
      <c r="K14" s="243"/>
      <c r="L14" s="244"/>
      <c r="M14" s="262">
        <f>VLOOKUP($B$14,'素データ'!$A:$T,2,FALSE)</f>
        <v>43191</v>
      </c>
      <c r="N14" s="263">
        <f>VLOOKUP($B$14,'素データ'!$A:$T,3,FALSE)</f>
        <v>2</v>
      </c>
      <c r="O14" s="244"/>
      <c r="P14" s="262">
        <f>VLOOKUP($B$14,'素データ'!$A:$T,4,FALSE)</f>
        <v>0</v>
      </c>
      <c r="Q14" s="263">
        <f>VLOOKUP($B$14,'素データ'!$A:$T,5,FALSE)</f>
        <v>0</v>
      </c>
      <c r="R14" s="244"/>
      <c r="S14" s="287">
        <v>3</v>
      </c>
      <c r="T14" s="333" t="s">
        <v>423</v>
      </c>
    </row>
    <row r="15" spans="1:20" ht="15" thickTop="1">
      <c r="A15" s="268"/>
      <c r="B15" s="265" t="s">
        <v>380</v>
      </c>
      <c r="C15" s="266"/>
      <c r="D15" s="770" t="s">
        <v>379</v>
      </c>
      <c r="E15" s="770"/>
      <c r="F15" s="266"/>
      <c r="G15" s="265" t="s">
        <v>379</v>
      </c>
      <c r="H15" s="266"/>
      <c r="I15" s="265" t="s">
        <v>379</v>
      </c>
      <c r="J15" s="268"/>
      <c r="K15" s="268"/>
      <c r="L15" s="269"/>
      <c r="M15" s="770" t="s">
        <v>379</v>
      </c>
      <c r="N15" s="770"/>
      <c r="O15" s="269"/>
      <c r="P15" s="770" t="s">
        <v>379</v>
      </c>
      <c r="Q15" s="770"/>
      <c r="R15" s="269"/>
      <c r="S15" s="287">
        <v>4</v>
      </c>
      <c r="T15" s="333" t="s">
        <v>424</v>
      </c>
    </row>
    <row r="16" spans="1:20" ht="14.25">
      <c r="A16" s="243"/>
      <c r="B16" s="243"/>
      <c r="C16" s="243"/>
      <c r="D16" s="243"/>
      <c r="E16" s="243"/>
      <c r="F16" s="243"/>
      <c r="G16" s="243"/>
      <c r="H16" s="243"/>
      <c r="I16" s="243"/>
      <c r="J16" s="243"/>
      <c r="K16" s="243"/>
      <c r="L16" s="244"/>
      <c r="M16" s="243"/>
      <c r="N16" s="282"/>
      <c r="O16" s="244"/>
      <c r="P16" s="243"/>
      <c r="Q16" s="243"/>
      <c r="R16" s="244"/>
      <c r="S16" s="287">
        <v>5</v>
      </c>
      <c r="T16" s="333" t="s">
        <v>425</v>
      </c>
    </row>
    <row r="17" spans="1:20" ht="15" thickBot="1">
      <c r="A17" s="243"/>
      <c r="B17" s="243"/>
      <c r="C17" s="243"/>
      <c r="D17" s="243"/>
      <c r="E17" s="243"/>
      <c r="F17" s="243"/>
      <c r="G17" s="243"/>
      <c r="H17" s="243"/>
      <c r="I17" s="243"/>
      <c r="J17" s="243"/>
      <c r="K17" s="243"/>
      <c r="L17" s="244"/>
      <c r="M17" s="243"/>
      <c r="N17" s="282"/>
      <c r="O17" s="244"/>
      <c r="P17" s="243"/>
      <c r="Q17" s="243"/>
      <c r="R17" s="244"/>
      <c r="S17" s="287">
        <v>6</v>
      </c>
      <c r="T17" s="333" t="s">
        <v>426</v>
      </c>
    </row>
    <row r="18" spans="1:20" ht="30" customHeight="1" thickBot="1" thickTop="1">
      <c r="A18" s="243"/>
      <c r="B18" s="255" t="str">
        <f>VLOOKUP(4*($E$5-1)+3,$S$12:$T$74,2,FALSE)</f>
        <v>03</v>
      </c>
      <c r="C18" s="256"/>
      <c r="D18" s="257">
        <f>IF(P18=0,M18,P18)</f>
        <v>43191</v>
      </c>
      <c r="E18" s="258">
        <f>IF(Q18=0,N18,Q18)</f>
        <v>3</v>
      </c>
      <c r="F18" s="259"/>
      <c r="G18" s="257" t="str">
        <f>VLOOKUP(B18,'素データ'!$A:$I,6,FALSE)</f>
        <v>サンデーズＪｒＢ</v>
      </c>
      <c r="H18" s="259"/>
      <c r="I18" s="257" t="str">
        <f>VLOOKUP(B18,'素データ'!$A:$I,9,FALSE)</f>
        <v>クッパーズＪｒ</v>
      </c>
      <c r="J18" s="243"/>
      <c r="K18" s="243"/>
      <c r="L18" s="244"/>
      <c r="M18" s="262">
        <f>VLOOKUP($B$18,'素データ'!$A:$T,2,FALSE)</f>
        <v>43191</v>
      </c>
      <c r="N18" s="263">
        <f>VLOOKUP($B$18,'素データ'!$A:$T,3,FALSE)</f>
        <v>3</v>
      </c>
      <c r="O18" s="244"/>
      <c r="P18" s="262">
        <f>VLOOKUP($B$18,'素データ'!$A:$T,4,FALSE)</f>
        <v>0</v>
      </c>
      <c r="Q18" s="263">
        <f>VLOOKUP($B$18,'素データ'!$A:$T,5,FALSE)</f>
        <v>0</v>
      </c>
      <c r="R18" s="244"/>
      <c r="S18" s="287">
        <v>7</v>
      </c>
      <c r="T18" s="333" t="s">
        <v>427</v>
      </c>
    </row>
    <row r="19" spans="1:20" ht="15" thickTop="1">
      <c r="A19" s="268"/>
      <c r="B19" s="265" t="s">
        <v>380</v>
      </c>
      <c r="C19" s="266"/>
      <c r="D19" s="770" t="s">
        <v>379</v>
      </c>
      <c r="E19" s="770"/>
      <c r="F19" s="266"/>
      <c r="G19" s="265" t="s">
        <v>379</v>
      </c>
      <c r="H19" s="266"/>
      <c r="I19" s="265" t="s">
        <v>379</v>
      </c>
      <c r="J19" s="268"/>
      <c r="K19" s="268"/>
      <c r="L19" s="269"/>
      <c r="M19" s="770" t="s">
        <v>379</v>
      </c>
      <c r="N19" s="770"/>
      <c r="O19" s="269"/>
      <c r="P19" s="770" t="s">
        <v>379</v>
      </c>
      <c r="Q19" s="770"/>
      <c r="R19" s="269"/>
      <c r="S19" s="287">
        <v>8</v>
      </c>
      <c r="T19" s="333" t="s">
        <v>428</v>
      </c>
    </row>
    <row r="20" spans="1:20" ht="14.25">
      <c r="A20" s="243"/>
      <c r="B20" s="243"/>
      <c r="C20" s="243"/>
      <c r="D20" s="243"/>
      <c r="E20" s="243"/>
      <c r="F20" s="243"/>
      <c r="G20" s="243"/>
      <c r="H20" s="243"/>
      <c r="I20" s="243"/>
      <c r="J20" s="243"/>
      <c r="K20" s="243"/>
      <c r="L20" s="244"/>
      <c r="M20" s="243"/>
      <c r="N20" s="282"/>
      <c r="O20" s="244"/>
      <c r="P20" s="243"/>
      <c r="Q20" s="243"/>
      <c r="R20" s="244"/>
      <c r="S20" s="287">
        <v>9</v>
      </c>
      <c r="T20" s="333" t="s">
        <v>429</v>
      </c>
    </row>
    <row r="21" spans="1:20" ht="15" thickBot="1">
      <c r="A21" s="243"/>
      <c r="B21" s="243"/>
      <c r="C21" s="243"/>
      <c r="D21" s="243"/>
      <c r="E21" s="243"/>
      <c r="F21" s="243"/>
      <c r="G21" s="243"/>
      <c r="H21" s="243"/>
      <c r="I21" s="243"/>
      <c r="J21" s="243"/>
      <c r="K21" s="243"/>
      <c r="L21" s="244"/>
      <c r="M21" s="243"/>
      <c r="N21" s="282"/>
      <c r="O21" s="244"/>
      <c r="P21" s="243"/>
      <c r="Q21" s="243"/>
      <c r="R21" s="244"/>
      <c r="S21" s="287">
        <v>10</v>
      </c>
      <c r="T21" s="333">
        <v>10</v>
      </c>
    </row>
    <row r="22" spans="1:20" ht="30" customHeight="1" thickBot="1" thickTop="1">
      <c r="A22" s="243"/>
      <c r="B22" s="255" t="str">
        <f>VLOOKUP(4*($E$5-1)+4,$S$12:$T$74,2,FALSE)</f>
        <v>04</v>
      </c>
      <c r="C22" s="256"/>
      <c r="D22" s="257">
        <f>IF(P22=0,M22,P22)</f>
        <v>43191</v>
      </c>
      <c r="E22" s="258">
        <f>IF(Q22=0,N22,Q22)</f>
        <v>4</v>
      </c>
      <c r="F22" s="259"/>
      <c r="G22" s="257" t="str">
        <f>VLOOKUP(B22,'素データ'!$A:$I,6,FALSE)</f>
        <v>パイレーツ</v>
      </c>
      <c r="H22" s="259"/>
      <c r="I22" s="257" t="str">
        <f>VLOOKUP(B22,'素データ'!$A:$I,9,FALSE)</f>
        <v>ベアーズ</v>
      </c>
      <c r="J22" s="243"/>
      <c r="K22" s="243"/>
      <c r="L22" s="244"/>
      <c r="M22" s="262">
        <f>VLOOKUP($B$22,'素データ'!$A:$T,2,FALSE)</f>
        <v>43191</v>
      </c>
      <c r="N22" s="263">
        <f>VLOOKUP($B$22,'素データ'!$A:$T,3,FALSE)</f>
        <v>4</v>
      </c>
      <c r="O22" s="244"/>
      <c r="P22" s="262">
        <f>VLOOKUP($B$22,'素データ'!$A:$T,4,FALSE)</f>
        <v>0</v>
      </c>
      <c r="Q22" s="263">
        <f>VLOOKUP($B$22,'素データ'!$A:$T,5,FALSE)</f>
        <v>0</v>
      </c>
      <c r="R22" s="244"/>
      <c r="S22" s="287">
        <v>11</v>
      </c>
      <c r="T22" s="333">
        <v>11</v>
      </c>
    </row>
    <row r="23" spans="1:20" ht="15" thickTop="1">
      <c r="A23" s="268"/>
      <c r="B23" s="265" t="s">
        <v>380</v>
      </c>
      <c r="C23" s="266"/>
      <c r="D23" s="770" t="s">
        <v>379</v>
      </c>
      <c r="E23" s="770"/>
      <c r="F23" s="266"/>
      <c r="G23" s="265" t="s">
        <v>379</v>
      </c>
      <c r="H23" s="266"/>
      <c r="I23" s="265" t="s">
        <v>379</v>
      </c>
      <c r="J23" s="268"/>
      <c r="K23" s="268"/>
      <c r="L23" s="269"/>
      <c r="M23" s="770" t="s">
        <v>379</v>
      </c>
      <c r="N23" s="770"/>
      <c r="O23" s="269"/>
      <c r="P23" s="770" t="s">
        <v>379</v>
      </c>
      <c r="Q23" s="770"/>
      <c r="R23" s="269"/>
      <c r="S23" s="287">
        <v>12</v>
      </c>
      <c r="T23" s="333">
        <v>12</v>
      </c>
    </row>
    <row r="24" spans="1:20" ht="14.25">
      <c r="A24" s="243"/>
      <c r="B24" s="243"/>
      <c r="C24" s="243"/>
      <c r="D24" s="243"/>
      <c r="E24" s="243"/>
      <c r="F24" s="243"/>
      <c r="G24" s="243"/>
      <c r="H24" s="243"/>
      <c r="I24" s="243"/>
      <c r="J24" s="243"/>
      <c r="K24" s="243"/>
      <c r="L24" s="244"/>
      <c r="M24" s="244"/>
      <c r="N24" s="278"/>
      <c r="O24" s="244"/>
      <c r="P24" s="244"/>
      <c r="Q24" s="244"/>
      <c r="R24" s="244"/>
      <c r="S24" s="287">
        <v>13</v>
      </c>
      <c r="T24" s="333">
        <v>13</v>
      </c>
    </row>
    <row r="25" spans="1:20" ht="14.25">
      <c r="A25" s="243"/>
      <c r="B25" s="243"/>
      <c r="C25" s="243"/>
      <c r="D25" s="243"/>
      <c r="E25" s="243"/>
      <c r="F25" s="243"/>
      <c r="G25" s="243"/>
      <c r="H25" s="243"/>
      <c r="I25" s="243"/>
      <c r="J25" s="243"/>
      <c r="K25" s="243"/>
      <c r="L25" s="244"/>
      <c r="M25" s="244"/>
      <c r="N25" s="278"/>
      <c r="O25" s="244"/>
      <c r="P25" s="244"/>
      <c r="Q25" s="244"/>
      <c r="R25" s="244"/>
      <c r="S25" s="287">
        <v>14</v>
      </c>
      <c r="T25" s="333">
        <v>14</v>
      </c>
    </row>
    <row r="26" spans="1:20" ht="14.25">
      <c r="A26" s="243"/>
      <c r="B26" s="243"/>
      <c r="C26" s="243"/>
      <c r="D26" s="243"/>
      <c r="E26" s="243"/>
      <c r="F26" s="243"/>
      <c r="G26" s="243"/>
      <c r="H26" s="243"/>
      <c r="I26" s="243"/>
      <c r="J26" s="243"/>
      <c r="K26" s="243"/>
      <c r="L26" s="244"/>
      <c r="M26" s="244"/>
      <c r="N26" s="278"/>
      <c r="O26" s="244"/>
      <c r="P26" s="244"/>
      <c r="Q26" s="244"/>
      <c r="R26" s="244"/>
      <c r="S26" s="287">
        <v>15</v>
      </c>
      <c r="T26" s="333">
        <v>15</v>
      </c>
    </row>
    <row r="27" spans="1:20" ht="14.25">
      <c r="A27" s="243"/>
      <c r="B27" s="243"/>
      <c r="C27" s="243"/>
      <c r="D27" s="243"/>
      <c r="E27" s="243"/>
      <c r="F27" s="243"/>
      <c r="G27" s="243"/>
      <c r="H27" s="243"/>
      <c r="I27" s="243"/>
      <c r="J27" s="243"/>
      <c r="K27" s="243"/>
      <c r="L27" s="244"/>
      <c r="M27" s="244"/>
      <c r="N27" s="278"/>
      <c r="O27" s="244"/>
      <c r="P27" s="244"/>
      <c r="Q27" s="244"/>
      <c r="R27" s="244"/>
      <c r="S27" s="287">
        <v>16</v>
      </c>
      <c r="T27" s="333">
        <v>16</v>
      </c>
    </row>
    <row r="28" spans="1:20" ht="14.25">
      <c r="A28" s="243"/>
      <c r="B28" s="243"/>
      <c r="C28" s="243"/>
      <c r="D28" s="243"/>
      <c r="E28" s="243"/>
      <c r="F28" s="243"/>
      <c r="G28" s="243"/>
      <c r="H28" s="243"/>
      <c r="I28" s="243"/>
      <c r="J28" s="243"/>
      <c r="K28" s="243"/>
      <c r="L28" s="244"/>
      <c r="M28" s="244"/>
      <c r="N28" s="278"/>
      <c r="O28" s="244"/>
      <c r="P28" s="244"/>
      <c r="Q28" s="244"/>
      <c r="R28" s="244"/>
      <c r="S28" s="287">
        <v>17</v>
      </c>
      <c r="T28" s="333">
        <v>17</v>
      </c>
    </row>
    <row r="29" spans="1:20" ht="14.25">
      <c r="A29" s="243"/>
      <c r="B29" s="243"/>
      <c r="C29" s="243"/>
      <c r="D29" s="243"/>
      <c r="E29" s="243"/>
      <c r="F29" s="243"/>
      <c r="G29" s="243"/>
      <c r="H29" s="243"/>
      <c r="I29" s="243"/>
      <c r="J29" s="243"/>
      <c r="K29" s="243"/>
      <c r="L29" s="244"/>
      <c r="M29" s="244"/>
      <c r="N29" s="278"/>
      <c r="O29" s="244"/>
      <c r="P29" s="244"/>
      <c r="Q29" s="244"/>
      <c r="R29" s="244"/>
      <c r="S29" s="287">
        <v>18</v>
      </c>
      <c r="T29" s="333">
        <v>18</v>
      </c>
    </row>
    <row r="30" spans="1:20" ht="14.25">
      <c r="A30" s="243"/>
      <c r="B30" s="243"/>
      <c r="C30" s="243"/>
      <c r="D30" s="243"/>
      <c r="E30" s="243"/>
      <c r="F30" s="243"/>
      <c r="G30" s="243"/>
      <c r="H30" s="243"/>
      <c r="I30" s="243"/>
      <c r="J30" s="243"/>
      <c r="K30" s="243"/>
      <c r="L30" s="244"/>
      <c r="M30" s="244"/>
      <c r="N30" s="278"/>
      <c r="O30" s="244"/>
      <c r="P30" s="244"/>
      <c r="Q30" s="244"/>
      <c r="R30" s="244"/>
      <c r="S30" s="287">
        <v>19</v>
      </c>
      <c r="T30" s="333">
        <v>19</v>
      </c>
    </row>
    <row r="31" spans="1:20" ht="14.25">
      <c r="A31" s="17"/>
      <c r="B31" s="17"/>
      <c r="C31" s="17"/>
      <c r="D31" s="17"/>
      <c r="E31" s="17"/>
      <c r="F31" s="17"/>
      <c r="G31" s="17"/>
      <c r="H31" s="17"/>
      <c r="I31" s="17"/>
      <c r="J31" s="17"/>
      <c r="K31" s="17"/>
      <c r="L31" s="17"/>
      <c r="M31" s="17"/>
      <c r="N31" s="283"/>
      <c r="O31" s="17"/>
      <c r="P31" s="17"/>
      <c r="Q31" s="17"/>
      <c r="R31" s="17"/>
      <c r="S31" s="287">
        <v>20</v>
      </c>
      <c r="T31" s="333">
        <v>20</v>
      </c>
    </row>
    <row r="32" spans="1:20" ht="14.25">
      <c r="A32" s="17"/>
      <c r="B32" s="17"/>
      <c r="C32" s="17"/>
      <c r="D32" s="17"/>
      <c r="E32" s="17"/>
      <c r="F32" s="17"/>
      <c r="G32" s="17"/>
      <c r="H32" s="17"/>
      <c r="I32" s="17"/>
      <c r="J32" s="17"/>
      <c r="K32" s="17"/>
      <c r="L32" s="17"/>
      <c r="M32" s="17"/>
      <c r="N32" s="283"/>
      <c r="O32" s="17"/>
      <c r="P32" s="17"/>
      <c r="Q32" s="17"/>
      <c r="R32" s="17"/>
      <c r="S32" s="287">
        <v>21</v>
      </c>
      <c r="T32" s="333">
        <v>21</v>
      </c>
    </row>
    <row r="33" spans="19:20" ht="14.25">
      <c r="S33" s="287">
        <v>22</v>
      </c>
      <c r="T33" s="333">
        <v>22</v>
      </c>
    </row>
    <row r="34" spans="19:20" ht="14.25">
      <c r="S34" s="287">
        <v>23</v>
      </c>
      <c r="T34" s="333">
        <v>23</v>
      </c>
    </row>
    <row r="35" spans="19:20" ht="14.25">
      <c r="S35" s="287">
        <v>24</v>
      </c>
      <c r="T35" s="333">
        <v>24</v>
      </c>
    </row>
    <row r="36" spans="19:20" ht="14.25">
      <c r="S36" s="287">
        <v>25</v>
      </c>
      <c r="T36" s="333">
        <v>25</v>
      </c>
    </row>
    <row r="37" spans="19:20" ht="14.25">
      <c r="S37" s="287">
        <v>26</v>
      </c>
      <c r="T37" s="333">
        <v>26</v>
      </c>
    </row>
    <row r="38" spans="19:20" ht="14.25">
      <c r="S38" s="287">
        <v>27</v>
      </c>
      <c r="T38" s="333">
        <v>27</v>
      </c>
    </row>
    <row r="39" spans="19:20" ht="14.25">
      <c r="S39" s="287">
        <v>28</v>
      </c>
      <c r="T39" s="333">
        <v>28</v>
      </c>
    </row>
    <row r="40" spans="19:20" ht="14.25">
      <c r="S40" s="287">
        <v>29</v>
      </c>
      <c r="T40" s="333">
        <v>29</v>
      </c>
    </row>
    <row r="41" spans="19:20" ht="14.25">
      <c r="S41" s="287">
        <v>30</v>
      </c>
      <c r="T41" s="333">
        <v>30</v>
      </c>
    </row>
    <row r="42" spans="19:20" ht="14.25">
      <c r="S42" s="287">
        <v>31</v>
      </c>
      <c r="T42" s="333">
        <v>31</v>
      </c>
    </row>
    <row r="43" spans="19:20" ht="14.25">
      <c r="S43" s="287">
        <v>32</v>
      </c>
      <c r="T43" s="333">
        <v>32</v>
      </c>
    </row>
    <row r="44" spans="19:20" ht="14.25">
      <c r="S44" s="287">
        <v>33</v>
      </c>
      <c r="T44" s="333">
        <v>33</v>
      </c>
    </row>
    <row r="45" spans="19:20" ht="14.25">
      <c r="S45" s="287">
        <v>34</v>
      </c>
      <c r="T45" s="333">
        <v>34</v>
      </c>
    </row>
    <row r="46" spans="19:20" ht="14.25">
      <c r="S46" s="287">
        <v>35</v>
      </c>
      <c r="T46" s="333">
        <v>35</v>
      </c>
    </row>
    <row r="47" spans="19:20" ht="14.25">
      <c r="S47" s="287">
        <v>36</v>
      </c>
      <c r="T47" s="333">
        <v>36</v>
      </c>
    </row>
    <row r="48" spans="19:20" ht="14.25">
      <c r="S48" s="287">
        <v>37</v>
      </c>
      <c r="T48" s="333">
        <v>37</v>
      </c>
    </row>
    <row r="49" spans="19:20" ht="14.25">
      <c r="S49" s="287">
        <v>38</v>
      </c>
      <c r="T49" s="333">
        <v>38</v>
      </c>
    </row>
    <row r="50" spans="19:20" ht="14.25">
      <c r="S50" s="287">
        <v>39</v>
      </c>
      <c r="T50" s="333">
        <v>39</v>
      </c>
    </row>
    <row r="51" spans="19:20" ht="14.25">
      <c r="S51" s="287">
        <v>40</v>
      </c>
      <c r="T51" s="333">
        <v>40</v>
      </c>
    </row>
    <row r="52" spans="19:20" ht="14.25">
      <c r="S52" s="287">
        <v>41</v>
      </c>
      <c r="T52" s="333">
        <v>41</v>
      </c>
    </row>
    <row r="53" spans="19:20" ht="14.25">
      <c r="S53" s="287">
        <v>42</v>
      </c>
      <c r="T53" s="333">
        <v>42</v>
      </c>
    </row>
    <row r="54" spans="19:20" ht="14.25">
      <c r="S54" s="287">
        <v>43</v>
      </c>
      <c r="T54" s="333">
        <v>43</v>
      </c>
    </row>
    <row r="55" spans="19:20" ht="14.25">
      <c r="S55" s="287">
        <v>44</v>
      </c>
      <c r="T55" s="333">
        <v>44</v>
      </c>
    </row>
    <row r="56" spans="19:20" ht="14.25">
      <c r="S56" s="287">
        <v>45</v>
      </c>
      <c r="T56" s="333">
        <v>45</v>
      </c>
    </row>
    <row r="57" spans="19:20" ht="14.25">
      <c r="S57" s="287">
        <v>46</v>
      </c>
      <c r="T57" s="333">
        <v>46</v>
      </c>
    </row>
    <row r="58" spans="19:20" ht="14.25">
      <c r="S58" s="287">
        <v>47</v>
      </c>
      <c r="T58" s="333">
        <v>47</v>
      </c>
    </row>
    <row r="59" spans="19:20" ht="14.25">
      <c r="S59" s="287">
        <v>48</v>
      </c>
      <c r="T59" s="333">
        <v>48</v>
      </c>
    </row>
    <row r="60" spans="19:20" ht="14.25">
      <c r="S60" s="287">
        <v>49</v>
      </c>
      <c r="T60" s="333">
        <v>49</v>
      </c>
    </row>
    <row r="61" spans="19:20" ht="14.25">
      <c r="S61" s="287">
        <v>50</v>
      </c>
      <c r="T61" s="334">
        <v>50</v>
      </c>
    </row>
    <row r="62" spans="19:20" ht="14.25">
      <c r="S62" s="287">
        <v>51</v>
      </c>
      <c r="T62" s="334">
        <v>51</v>
      </c>
    </row>
    <row r="63" spans="19:20" ht="14.25">
      <c r="S63" s="287">
        <v>52</v>
      </c>
      <c r="T63" s="334">
        <v>52</v>
      </c>
    </row>
    <row r="64" spans="19:20" ht="14.25">
      <c r="S64" s="287">
        <v>53</v>
      </c>
      <c r="T64" s="334">
        <v>53</v>
      </c>
    </row>
    <row r="65" spans="19:20" ht="14.25">
      <c r="S65" s="287">
        <v>54</v>
      </c>
      <c r="T65" s="334">
        <v>54</v>
      </c>
    </row>
    <row r="66" spans="19:20" ht="14.25">
      <c r="S66" s="287">
        <v>55</v>
      </c>
      <c r="T66" s="334">
        <v>55</v>
      </c>
    </row>
    <row r="67" spans="19:20" ht="14.25">
      <c r="S67" s="287">
        <v>56</v>
      </c>
      <c r="T67" s="334">
        <v>56</v>
      </c>
    </row>
    <row r="68" spans="19:20" ht="14.25">
      <c r="S68" s="287">
        <v>57</v>
      </c>
      <c r="T68" s="335">
        <v>57</v>
      </c>
    </row>
    <row r="69" spans="19:20" ht="14.25">
      <c r="S69" s="287">
        <v>58</v>
      </c>
      <c r="T69" s="335">
        <v>58</v>
      </c>
    </row>
    <row r="70" spans="19:20" ht="14.25">
      <c r="S70" s="287">
        <v>59</v>
      </c>
      <c r="T70" s="335">
        <v>59</v>
      </c>
    </row>
    <row r="71" spans="19:20" ht="14.25">
      <c r="S71" s="287">
        <v>60</v>
      </c>
      <c r="T71" s="335">
        <v>60</v>
      </c>
    </row>
    <row r="72" spans="19:20" ht="14.25">
      <c r="S72" s="287">
        <v>61</v>
      </c>
      <c r="T72" s="335">
        <v>61</v>
      </c>
    </row>
    <row r="73" spans="19:20" ht="14.25">
      <c r="S73" s="287">
        <v>62</v>
      </c>
      <c r="T73" s="335">
        <v>62</v>
      </c>
    </row>
    <row r="74" spans="19:20" ht="14.25">
      <c r="S74" s="287">
        <v>63</v>
      </c>
      <c r="T74" s="335">
        <v>63</v>
      </c>
    </row>
  </sheetData>
  <sheetProtection/>
  <mergeCells count="19">
    <mergeCell ref="S10:S11"/>
    <mergeCell ref="T10:T11"/>
    <mergeCell ref="S8:T9"/>
    <mergeCell ref="D23:E23"/>
    <mergeCell ref="M11:N11"/>
    <mergeCell ref="M15:N15"/>
    <mergeCell ref="M19:N19"/>
    <mergeCell ref="M23:N23"/>
    <mergeCell ref="P11:Q11"/>
    <mergeCell ref="P15:Q15"/>
    <mergeCell ref="P19:Q19"/>
    <mergeCell ref="P23:Q23"/>
    <mergeCell ref="B2:D2"/>
    <mergeCell ref="D11:E11"/>
    <mergeCell ref="D15:E15"/>
    <mergeCell ref="D19:E19"/>
    <mergeCell ref="G5:I5"/>
    <mergeCell ref="E2:G2"/>
    <mergeCell ref="G6:I6"/>
  </mergeCells>
  <conditionalFormatting sqref="G5:G6">
    <cfRule type="cellIs" priority="1" dxfId="2" operator="equal" stopIfTrue="1">
      <formula>"→　入力エラー"</formula>
    </cfRule>
  </conditionalFormatting>
  <dataValidations count="1">
    <dataValidation type="whole" allowBlank="1" showInputMessage="1" showErrorMessage="1" sqref="E5">
      <formula1>1</formula1>
      <formula2>16</formula2>
    </dataValidation>
  </dataValidation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13"/>
  </sheetPr>
  <dimension ref="A1:O96"/>
  <sheetViews>
    <sheetView showGridLines="0" workbookViewId="0" topLeftCell="A1">
      <selection activeCell="B10" sqref="B10"/>
    </sheetView>
  </sheetViews>
  <sheetFormatPr defaultColWidth="8.796875" defaultRowHeight="15"/>
  <cols>
    <col min="1" max="1" width="2.69921875" style="2" customWidth="1"/>
    <col min="2" max="2" width="17" style="2" customWidth="1"/>
    <col min="3" max="4" width="9" style="2" customWidth="1"/>
    <col min="5" max="5" width="13.59765625" style="2" customWidth="1"/>
    <col min="6" max="7" width="9" style="2" customWidth="1"/>
    <col min="8" max="8" width="9" style="3" customWidth="1"/>
    <col min="9" max="9" width="4.19921875" style="2" customWidth="1"/>
    <col min="10" max="10" width="6.59765625" style="17" customWidth="1"/>
    <col min="11" max="11" width="15.5" style="2" customWidth="1"/>
    <col min="12" max="16384" width="9" style="2" customWidth="1"/>
  </cols>
  <sheetData>
    <row r="1" spans="1:15" ht="15" thickTop="1">
      <c r="A1" s="234"/>
      <c r="B1" s="77" t="s">
        <v>397</v>
      </c>
      <c r="C1" s="77" t="s">
        <v>61</v>
      </c>
      <c r="D1" s="77" t="s">
        <v>62</v>
      </c>
      <c r="E1" s="77" t="s">
        <v>398</v>
      </c>
      <c r="F1" s="77" t="s">
        <v>63</v>
      </c>
      <c r="G1" s="77" t="s">
        <v>64</v>
      </c>
      <c r="H1" s="78" t="s">
        <v>54</v>
      </c>
      <c r="K1" s="293" t="s">
        <v>401</v>
      </c>
      <c r="L1" s="783" t="s">
        <v>402</v>
      </c>
      <c r="M1" s="783"/>
      <c r="N1" s="783"/>
      <c r="O1" s="783"/>
    </row>
    <row r="2" spans="1:11" ht="14.25">
      <c r="A2" s="235"/>
      <c r="B2" s="233" t="str">
        <f>'素データ'!Z7</f>
        <v>ファイターズＡ</v>
      </c>
      <c r="C2" s="10"/>
      <c r="D2" s="10"/>
      <c r="E2" s="10"/>
      <c r="F2" s="10"/>
      <c r="G2" s="10"/>
      <c r="H2" s="79" t="s">
        <v>52</v>
      </c>
      <c r="J2" s="17" t="s">
        <v>69</v>
      </c>
      <c r="K2" s="232" t="s">
        <v>70</v>
      </c>
    </row>
    <row r="3" spans="1:11" ht="14.25">
      <c r="A3" s="235"/>
      <c r="B3" s="16" t="s">
        <v>397</v>
      </c>
      <c r="C3" s="16" t="s">
        <v>61</v>
      </c>
      <c r="D3" s="16" t="s">
        <v>62</v>
      </c>
      <c r="E3" s="16" t="s">
        <v>399</v>
      </c>
      <c r="F3" s="16" t="s">
        <v>63</v>
      </c>
      <c r="G3" s="16" t="s">
        <v>64</v>
      </c>
      <c r="H3" s="80" t="s">
        <v>54</v>
      </c>
      <c r="J3" s="294" t="s">
        <v>403</v>
      </c>
      <c r="K3" s="232"/>
    </row>
    <row r="4" spans="1:11" ht="14.25">
      <c r="A4" s="235"/>
      <c r="B4" s="18"/>
      <c r="C4" s="10"/>
      <c r="D4" s="10"/>
      <c r="E4" s="10" t="str">
        <f>'素データ'!Z7</f>
        <v>ファイターズＡ</v>
      </c>
      <c r="F4" s="10"/>
      <c r="G4" s="10"/>
      <c r="H4" s="79" t="s">
        <v>53</v>
      </c>
      <c r="J4" s="17" t="s">
        <v>405</v>
      </c>
      <c r="K4" s="232" t="s">
        <v>71</v>
      </c>
    </row>
    <row r="5" spans="1:11" ht="14.25">
      <c r="A5" s="235"/>
      <c r="B5" s="16" t="s">
        <v>400</v>
      </c>
      <c r="C5" s="16" t="s">
        <v>61</v>
      </c>
      <c r="D5" s="16" t="s">
        <v>62</v>
      </c>
      <c r="E5" s="16" t="s">
        <v>399</v>
      </c>
      <c r="F5" s="16" t="s">
        <v>63</v>
      </c>
      <c r="G5" s="16" t="s">
        <v>64</v>
      </c>
      <c r="H5" s="80" t="s">
        <v>54</v>
      </c>
      <c r="K5" s="232"/>
    </row>
    <row r="6" spans="1:11" ht="14.25">
      <c r="A6" s="235"/>
      <c r="B6" s="10" t="str">
        <f>'素データ'!Z7</f>
        <v>ファイターズＡ</v>
      </c>
      <c r="C6" s="10"/>
      <c r="D6" s="10"/>
      <c r="E6" s="10"/>
      <c r="F6" s="10"/>
      <c r="G6" s="10"/>
      <c r="H6" s="79" t="s">
        <v>53</v>
      </c>
      <c r="J6" s="17" t="s">
        <v>405</v>
      </c>
      <c r="K6" s="232" t="s">
        <v>70</v>
      </c>
    </row>
    <row r="7" spans="1:11" ht="14.25">
      <c r="A7" s="235"/>
      <c r="B7" s="16" t="s">
        <v>400</v>
      </c>
      <c r="C7" s="16" t="s">
        <v>61</v>
      </c>
      <c r="D7" s="16" t="s">
        <v>62</v>
      </c>
      <c r="E7" s="16" t="s">
        <v>399</v>
      </c>
      <c r="F7" s="16" t="s">
        <v>63</v>
      </c>
      <c r="G7" s="16" t="s">
        <v>64</v>
      </c>
      <c r="H7" s="80" t="s">
        <v>54</v>
      </c>
      <c r="J7" s="295" t="s">
        <v>404</v>
      </c>
      <c r="K7" s="232"/>
    </row>
    <row r="8" spans="1:11" ht="14.25">
      <c r="A8" s="235"/>
      <c r="B8" s="18"/>
      <c r="C8" s="10"/>
      <c r="D8" s="10"/>
      <c r="E8" s="10" t="str">
        <f>'素データ'!Z7</f>
        <v>ファイターズＡ</v>
      </c>
      <c r="F8" s="10"/>
      <c r="G8" s="10"/>
      <c r="H8" s="79" t="s">
        <v>52</v>
      </c>
      <c r="J8" s="17" t="s">
        <v>405</v>
      </c>
      <c r="K8" s="232" t="s">
        <v>71</v>
      </c>
    </row>
    <row r="9" spans="1:11" ht="14.25">
      <c r="A9" s="235"/>
      <c r="B9" s="16" t="s">
        <v>400</v>
      </c>
      <c r="C9" s="16" t="s">
        <v>61</v>
      </c>
      <c r="D9" s="16" t="s">
        <v>62</v>
      </c>
      <c r="E9" s="16" t="s">
        <v>399</v>
      </c>
      <c r="F9" s="16" t="s">
        <v>63</v>
      </c>
      <c r="G9" s="16" t="s">
        <v>64</v>
      </c>
      <c r="H9" s="80" t="s">
        <v>54</v>
      </c>
      <c r="K9" s="232"/>
    </row>
    <row r="10" spans="1:11" ht="14.25">
      <c r="A10" s="235"/>
      <c r="B10" s="10" t="str">
        <f>'素データ'!Z7</f>
        <v>ファイターズＡ</v>
      </c>
      <c r="C10" s="10"/>
      <c r="D10" s="10"/>
      <c r="E10" s="10"/>
      <c r="F10" s="10"/>
      <c r="G10" s="10"/>
      <c r="H10" s="79" t="s">
        <v>56</v>
      </c>
      <c r="J10" s="17" t="s">
        <v>405</v>
      </c>
      <c r="K10" s="232" t="s">
        <v>70</v>
      </c>
    </row>
    <row r="11" spans="1:11" ht="14.25">
      <c r="A11" s="235"/>
      <c r="B11" s="16" t="s">
        <v>400</v>
      </c>
      <c r="C11" s="16" t="s">
        <v>61</v>
      </c>
      <c r="D11" s="16" t="s">
        <v>62</v>
      </c>
      <c r="E11" s="16" t="s">
        <v>399</v>
      </c>
      <c r="F11" s="16" t="s">
        <v>63</v>
      </c>
      <c r="G11" s="16" t="s">
        <v>64</v>
      </c>
      <c r="H11" s="80" t="s">
        <v>54</v>
      </c>
      <c r="J11" s="296" t="s">
        <v>4</v>
      </c>
      <c r="K11" s="232"/>
    </row>
    <row r="12" spans="1:11" ht="15" thickBot="1">
      <c r="A12" s="236"/>
      <c r="B12" s="81"/>
      <c r="C12" s="82"/>
      <c r="D12" s="82"/>
      <c r="E12" s="82" t="str">
        <f>'素データ'!Z7</f>
        <v>ファイターズＡ</v>
      </c>
      <c r="F12" s="82"/>
      <c r="G12" s="82"/>
      <c r="H12" s="83" t="s">
        <v>56</v>
      </c>
      <c r="J12" s="17" t="s">
        <v>69</v>
      </c>
      <c r="K12" s="232" t="s">
        <v>71</v>
      </c>
    </row>
    <row r="13" spans="1:15" ht="15" thickTop="1">
      <c r="A13" s="84"/>
      <c r="B13" s="77" t="s">
        <v>400</v>
      </c>
      <c r="C13" s="77" t="s">
        <v>61</v>
      </c>
      <c r="D13" s="77" t="s">
        <v>62</v>
      </c>
      <c r="E13" s="77" t="s">
        <v>399</v>
      </c>
      <c r="F13" s="77" t="s">
        <v>63</v>
      </c>
      <c r="G13" s="77" t="s">
        <v>64</v>
      </c>
      <c r="H13" s="78" t="s">
        <v>54</v>
      </c>
      <c r="K13" s="293" t="s">
        <v>401</v>
      </c>
      <c r="L13" s="783" t="s">
        <v>430</v>
      </c>
      <c r="M13" s="783"/>
      <c r="N13" s="783"/>
      <c r="O13" s="783"/>
    </row>
    <row r="14" spans="1:11" ht="14.25">
      <c r="A14" s="85"/>
      <c r="B14" s="73" t="str">
        <f>'素データ'!Z8</f>
        <v>サンデーズＪｒＡ</v>
      </c>
      <c r="C14" s="10"/>
      <c r="D14" s="10"/>
      <c r="E14" s="10"/>
      <c r="F14" s="10"/>
      <c r="G14" s="10"/>
      <c r="H14" s="79" t="s">
        <v>52</v>
      </c>
      <c r="J14" s="17" t="s">
        <v>69</v>
      </c>
      <c r="K14" s="66" t="s">
        <v>70</v>
      </c>
    </row>
    <row r="15" spans="1:11" ht="14.25">
      <c r="A15" s="85"/>
      <c r="B15" s="16" t="s">
        <v>400</v>
      </c>
      <c r="C15" s="16" t="s">
        <v>61</v>
      </c>
      <c r="D15" s="16" t="s">
        <v>62</v>
      </c>
      <c r="E15" s="16" t="s">
        <v>399</v>
      </c>
      <c r="F15" s="16" t="s">
        <v>63</v>
      </c>
      <c r="G15" s="16" t="s">
        <v>64</v>
      </c>
      <c r="H15" s="80" t="s">
        <v>54</v>
      </c>
      <c r="K15" s="66"/>
    </row>
    <row r="16" spans="1:11" ht="14.25">
      <c r="A16" s="85"/>
      <c r="B16" s="18"/>
      <c r="C16" s="10"/>
      <c r="D16" s="10"/>
      <c r="E16" s="10" t="str">
        <f>'素データ'!Z8</f>
        <v>サンデーズＪｒＡ</v>
      </c>
      <c r="F16" s="10"/>
      <c r="G16" s="10"/>
      <c r="H16" s="79" t="s">
        <v>53</v>
      </c>
      <c r="J16" s="17" t="s">
        <v>69</v>
      </c>
      <c r="K16" s="66" t="s">
        <v>71</v>
      </c>
    </row>
    <row r="17" spans="1:11" ht="14.25">
      <c r="A17" s="85"/>
      <c r="B17" s="16" t="s">
        <v>400</v>
      </c>
      <c r="C17" s="16" t="s">
        <v>61</v>
      </c>
      <c r="D17" s="16" t="s">
        <v>62</v>
      </c>
      <c r="E17" s="16" t="s">
        <v>399</v>
      </c>
      <c r="F17" s="16" t="s">
        <v>63</v>
      </c>
      <c r="G17" s="16" t="s">
        <v>64</v>
      </c>
      <c r="H17" s="80" t="s">
        <v>54</v>
      </c>
      <c r="K17" s="66"/>
    </row>
    <row r="18" spans="1:11" ht="14.25">
      <c r="A18" s="85"/>
      <c r="B18" s="10" t="str">
        <f>'素データ'!Z8</f>
        <v>サンデーズＪｒＡ</v>
      </c>
      <c r="C18" s="10"/>
      <c r="D18" s="10"/>
      <c r="E18" s="10"/>
      <c r="F18" s="10"/>
      <c r="G18" s="10"/>
      <c r="H18" s="79" t="s">
        <v>53</v>
      </c>
      <c r="J18" s="17" t="s">
        <v>69</v>
      </c>
      <c r="K18" s="66" t="s">
        <v>70</v>
      </c>
    </row>
    <row r="19" spans="1:11" ht="14.25">
      <c r="A19" s="85"/>
      <c r="B19" s="16" t="s">
        <v>400</v>
      </c>
      <c r="C19" s="16" t="s">
        <v>61</v>
      </c>
      <c r="D19" s="16" t="s">
        <v>62</v>
      </c>
      <c r="E19" s="16" t="s">
        <v>399</v>
      </c>
      <c r="F19" s="16" t="s">
        <v>63</v>
      </c>
      <c r="G19" s="16" t="s">
        <v>64</v>
      </c>
      <c r="H19" s="80" t="s">
        <v>54</v>
      </c>
      <c r="K19" s="66"/>
    </row>
    <row r="20" spans="1:11" ht="14.25">
      <c r="A20" s="85"/>
      <c r="B20" s="18"/>
      <c r="C20" s="10"/>
      <c r="D20" s="10"/>
      <c r="E20" s="10" t="str">
        <f>'素データ'!Z8</f>
        <v>サンデーズＪｒＡ</v>
      </c>
      <c r="F20" s="10"/>
      <c r="G20" s="10"/>
      <c r="H20" s="79" t="s">
        <v>52</v>
      </c>
      <c r="J20" s="17" t="s">
        <v>69</v>
      </c>
      <c r="K20" s="66" t="s">
        <v>71</v>
      </c>
    </row>
    <row r="21" spans="1:11" ht="14.25">
      <c r="A21" s="85"/>
      <c r="B21" s="16" t="s">
        <v>400</v>
      </c>
      <c r="C21" s="16" t="s">
        <v>61</v>
      </c>
      <c r="D21" s="16" t="s">
        <v>62</v>
      </c>
      <c r="E21" s="16" t="s">
        <v>399</v>
      </c>
      <c r="F21" s="16" t="s">
        <v>63</v>
      </c>
      <c r="G21" s="16" t="s">
        <v>64</v>
      </c>
      <c r="H21" s="80" t="s">
        <v>54</v>
      </c>
      <c r="K21" s="66"/>
    </row>
    <row r="22" spans="1:11" ht="14.25">
      <c r="A22" s="85"/>
      <c r="B22" s="10" t="str">
        <f>'素データ'!Z8</f>
        <v>サンデーズＪｒＡ</v>
      </c>
      <c r="C22" s="10"/>
      <c r="D22" s="10"/>
      <c r="E22" s="10"/>
      <c r="F22" s="10"/>
      <c r="G22" s="10"/>
      <c r="H22" s="79" t="s">
        <v>56</v>
      </c>
      <c r="J22" s="17" t="s">
        <v>69</v>
      </c>
      <c r="K22" s="66" t="s">
        <v>70</v>
      </c>
    </row>
    <row r="23" spans="1:11" ht="14.25">
      <c r="A23" s="85"/>
      <c r="B23" s="16" t="s">
        <v>400</v>
      </c>
      <c r="C23" s="16" t="s">
        <v>61</v>
      </c>
      <c r="D23" s="16" t="s">
        <v>62</v>
      </c>
      <c r="E23" s="16" t="s">
        <v>399</v>
      </c>
      <c r="F23" s="16" t="s">
        <v>63</v>
      </c>
      <c r="G23" s="16" t="s">
        <v>64</v>
      </c>
      <c r="H23" s="80" t="s">
        <v>54</v>
      </c>
      <c r="K23" s="66"/>
    </row>
    <row r="24" spans="1:11" ht="15" thickBot="1">
      <c r="A24" s="86"/>
      <c r="B24" s="81"/>
      <c r="C24" s="82"/>
      <c r="D24" s="82"/>
      <c r="E24" s="82" t="str">
        <f>'素データ'!Z8</f>
        <v>サンデーズＪｒＡ</v>
      </c>
      <c r="F24" s="82"/>
      <c r="G24" s="82"/>
      <c r="H24" s="83" t="s">
        <v>56</v>
      </c>
      <c r="J24" s="17" t="s">
        <v>69</v>
      </c>
      <c r="K24" s="66" t="s">
        <v>71</v>
      </c>
    </row>
    <row r="25" spans="1:15" ht="15" thickTop="1">
      <c r="A25" s="87"/>
      <c r="B25" s="77" t="s">
        <v>400</v>
      </c>
      <c r="C25" s="77" t="s">
        <v>61</v>
      </c>
      <c r="D25" s="77" t="s">
        <v>62</v>
      </c>
      <c r="E25" s="77" t="s">
        <v>399</v>
      </c>
      <c r="F25" s="77" t="s">
        <v>63</v>
      </c>
      <c r="G25" s="77" t="s">
        <v>64</v>
      </c>
      <c r="H25" s="78" t="s">
        <v>54</v>
      </c>
      <c r="K25" s="293" t="s">
        <v>401</v>
      </c>
      <c r="L25" s="783" t="s">
        <v>431</v>
      </c>
      <c r="M25" s="783"/>
      <c r="N25" s="783"/>
      <c r="O25" s="783"/>
    </row>
    <row r="26" spans="1:11" ht="14.25">
      <c r="A26" s="88"/>
      <c r="B26" s="74" t="str">
        <f>'素データ'!Z9</f>
        <v>ファイターズＢ</v>
      </c>
      <c r="C26" s="10"/>
      <c r="D26" s="10"/>
      <c r="E26" s="10"/>
      <c r="F26" s="10"/>
      <c r="G26" s="10"/>
      <c r="H26" s="79" t="s">
        <v>52</v>
      </c>
      <c r="J26" s="17" t="s">
        <v>69</v>
      </c>
      <c r="K26" s="70" t="s">
        <v>70</v>
      </c>
    </row>
    <row r="27" spans="1:11" ht="14.25">
      <c r="A27" s="88"/>
      <c r="B27" s="16" t="s">
        <v>400</v>
      </c>
      <c r="C27" s="16" t="s">
        <v>61</v>
      </c>
      <c r="D27" s="16" t="s">
        <v>62</v>
      </c>
      <c r="E27" s="16" t="s">
        <v>399</v>
      </c>
      <c r="F27" s="16" t="s">
        <v>63</v>
      </c>
      <c r="G27" s="16" t="s">
        <v>64</v>
      </c>
      <c r="H27" s="80" t="s">
        <v>54</v>
      </c>
      <c r="K27" s="70"/>
    </row>
    <row r="28" spans="1:11" ht="14.25">
      <c r="A28" s="88"/>
      <c r="B28" s="18"/>
      <c r="C28" s="10"/>
      <c r="D28" s="10"/>
      <c r="E28" s="10" t="str">
        <f>'素データ'!Z9</f>
        <v>ファイターズＢ</v>
      </c>
      <c r="F28" s="10"/>
      <c r="G28" s="10"/>
      <c r="H28" s="79" t="s">
        <v>53</v>
      </c>
      <c r="J28" s="17" t="s">
        <v>69</v>
      </c>
      <c r="K28" s="70" t="s">
        <v>71</v>
      </c>
    </row>
    <row r="29" spans="1:11" ht="14.25">
      <c r="A29" s="88"/>
      <c r="B29" s="16" t="s">
        <v>400</v>
      </c>
      <c r="C29" s="16" t="s">
        <v>61</v>
      </c>
      <c r="D29" s="16" t="s">
        <v>62</v>
      </c>
      <c r="E29" s="16" t="s">
        <v>399</v>
      </c>
      <c r="F29" s="16" t="s">
        <v>63</v>
      </c>
      <c r="G29" s="16" t="s">
        <v>64</v>
      </c>
      <c r="H29" s="80" t="s">
        <v>54</v>
      </c>
      <c r="K29" s="70"/>
    </row>
    <row r="30" spans="1:11" ht="14.25">
      <c r="A30" s="88"/>
      <c r="B30" s="10" t="str">
        <f>'素データ'!Z9</f>
        <v>ファイターズＢ</v>
      </c>
      <c r="C30" s="10"/>
      <c r="D30" s="10"/>
      <c r="E30" s="10"/>
      <c r="F30" s="10"/>
      <c r="G30" s="10"/>
      <c r="H30" s="79" t="s">
        <v>53</v>
      </c>
      <c r="J30" s="17" t="s">
        <v>69</v>
      </c>
      <c r="K30" s="70" t="s">
        <v>70</v>
      </c>
    </row>
    <row r="31" spans="1:11" ht="14.25">
      <c r="A31" s="88"/>
      <c r="B31" s="16" t="s">
        <v>400</v>
      </c>
      <c r="C31" s="16" t="s">
        <v>61</v>
      </c>
      <c r="D31" s="16" t="s">
        <v>62</v>
      </c>
      <c r="E31" s="16" t="s">
        <v>399</v>
      </c>
      <c r="F31" s="16" t="s">
        <v>63</v>
      </c>
      <c r="G31" s="16" t="s">
        <v>64</v>
      </c>
      <c r="H31" s="80" t="s">
        <v>54</v>
      </c>
      <c r="K31" s="70"/>
    </row>
    <row r="32" spans="1:11" ht="14.25">
      <c r="A32" s="88"/>
      <c r="B32" s="18"/>
      <c r="C32" s="10"/>
      <c r="D32" s="10"/>
      <c r="E32" s="10" t="str">
        <f>'素データ'!Z9</f>
        <v>ファイターズＢ</v>
      </c>
      <c r="F32" s="10"/>
      <c r="G32" s="10"/>
      <c r="H32" s="79" t="s">
        <v>52</v>
      </c>
      <c r="J32" s="17" t="s">
        <v>69</v>
      </c>
      <c r="K32" s="70" t="s">
        <v>71</v>
      </c>
    </row>
    <row r="33" spans="1:11" ht="14.25">
      <c r="A33" s="88"/>
      <c r="B33" s="16" t="s">
        <v>400</v>
      </c>
      <c r="C33" s="16" t="s">
        <v>61</v>
      </c>
      <c r="D33" s="16" t="s">
        <v>62</v>
      </c>
      <c r="E33" s="16" t="s">
        <v>399</v>
      </c>
      <c r="F33" s="16" t="s">
        <v>63</v>
      </c>
      <c r="G33" s="16" t="s">
        <v>64</v>
      </c>
      <c r="H33" s="80" t="s">
        <v>54</v>
      </c>
      <c r="K33" s="70"/>
    </row>
    <row r="34" spans="1:11" ht="14.25">
      <c r="A34" s="88"/>
      <c r="B34" s="10" t="str">
        <f>'素データ'!Z9</f>
        <v>ファイターズＢ</v>
      </c>
      <c r="C34" s="10"/>
      <c r="D34" s="10"/>
      <c r="E34" s="10"/>
      <c r="F34" s="10"/>
      <c r="G34" s="10"/>
      <c r="H34" s="79" t="s">
        <v>56</v>
      </c>
      <c r="J34" s="17" t="s">
        <v>69</v>
      </c>
      <c r="K34" s="70" t="s">
        <v>70</v>
      </c>
    </row>
    <row r="35" spans="1:11" ht="14.25">
      <c r="A35" s="88"/>
      <c r="B35" s="16" t="s">
        <v>400</v>
      </c>
      <c r="C35" s="16" t="s">
        <v>61</v>
      </c>
      <c r="D35" s="16" t="s">
        <v>62</v>
      </c>
      <c r="E35" s="16" t="s">
        <v>399</v>
      </c>
      <c r="F35" s="16" t="s">
        <v>63</v>
      </c>
      <c r="G35" s="16" t="s">
        <v>64</v>
      </c>
      <c r="H35" s="80" t="s">
        <v>54</v>
      </c>
      <c r="K35" s="70"/>
    </row>
    <row r="36" spans="1:11" ht="15" thickBot="1">
      <c r="A36" s="89"/>
      <c r="B36" s="81"/>
      <c r="C36" s="82"/>
      <c r="D36" s="82"/>
      <c r="E36" s="82" t="str">
        <f>'素データ'!Z9</f>
        <v>ファイターズＢ</v>
      </c>
      <c r="F36" s="82"/>
      <c r="G36" s="82"/>
      <c r="H36" s="83" t="s">
        <v>56</v>
      </c>
      <c r="J36" s="17" t="s">
        <v>69</v>
      </c>
      <c r="K36" s="70" t="s">
        <v>71</v>
      </c>
    </row>
    <row r="37" spans="1:15" ht="15" thickTop="1">
      <c r="A37" s="90"/>
      <c r="B37" s="77" t="s">
        <v>400</v>
      </c>
      <c r="C37" s="77" t="s">
        <v>61</v>
      </c>
      <c r="D37" s="77" t="s">
        <v>62</v>
      </c>
      <c r="E37" s="77" t="s">
        <v>399</v>
      </c>
      <c r="F37" s="77" t="s">
        <v>63</v>
      </c>
      <c r="G37" s="77" t="s">
        <v>64</v>
      </c>
      <c r="H37" s="78" t="s">
        <v>54</v>
      </c>
      <c r="K37" s="293" t="s">
        <v>401</v>
      </c>
      <c r="L37" s="783" t="s">
        <v>432</v>
      </c>
      <c r="M37" s="783"/>
      <c r="N37" s="783"/>
      <c r="O37" s="783"/>
    </row>
    <row r="38" spans="1:11" ht="14.25">
      <c r="A38" s="91"/>
      <c r="B38" s="75" t="str">
        <f>'素データ'!Z10</f>
        <v>クッパーズＪｒ</v>
      </c>
      <c r="C38" s="10"/>
      <c r="D38" s="10"/>
      <c r="E38" s="10"/>
      <c r="F38" s="10"/>
      <c r="G38" s="10"/>
      <c r="H38" s="79" t="s">
        <v>52</v>
      </c>
      <c r="J38" s="17" t="s">
        <v>69</v>
      </c>
      <c r="K38" s="71" t="s">
        <v>70</v>
      </c>
    </row>
    <row r="39" spans="1:11" ht="14.25">
      <c r="A39" s="91"/>
      <c r="B39" s="16" t="s">
        <v>400</v>
      </c>
      <c r="C39" s="16" t="s">
        <v>61</v>
      </c>
      <c r="D39" s="16" t="s">
        <v>62</v>
      </c>
      <c r="E39" s="16" t="s">
        <v>399</v>
      </c>
      <c r="F39" s="16" t="s">
        <v>63</v>
      </c>
      <c r="G39" s="16" t="s">
        <v>64</v>
      </c>
      <c r="H39" s="80" t="s">
        <v>54</v>
      </c>
      <c r="K39" s="71"/>
    </row>
    <row r="40" spans="1:11" ht="14.25">
      <c r="A40" s="91"/>
      <c r="B40" s="18"/>
      <c r="C40" s="10"/>
      <c r="D40" s="10"/>
      <c r="E40" s="10" t="str">
        <f>'素データ'!Z10</f>
        <v>クッパーズＪｒ</v>
      </c>
      <c r="F40" s="10"/>
      <c r="G40" s="10"/>
      <c r="H40" s="79" t="s">
        <v>53</v>
      </c>
      <c r="J40" s="17" t="s">
        <v>69</v>
      </c>
      <c r="K40" s="71" t="s">
        <v>71</v>
      </c>
    </row>
    <row r="41" spans="1:11" ht="14.25">
      <c r="A41" s="91"/>
      <c r="B41" s="16" t="s">
        <v>400</v>
      </c>
      <c r="C41" s="16" t="s">
        <v>61</v>
      </c>
      <c r="D41" s="16" t="s">
        <v>62</v>
      </c>
      <c r="E41" s="16" t="s">
        <v>399</v>
      </c>
      <c r="F41" s="16" t="s">
        <v>63</v>
      </c>
      <c r="G41" s="16" t="s">
        <v>64</v>
      </c>
      <c r="H41" s="80" t="s">
        <v>54</v>
      </c>
      <c r="K41" s="71"/>
    </row>
    <row r="42" spans="1:11" ht="14.25">
      <c r="A42" s="91"/>
      <c r="B42" s="10" t="str">
        <f>'素データ'!Z10</f>
        <v>クッパーズＪｒ</v>
      </c>
      <c r="C42" s="10"/>
      <c r="D42" s="10"/>
      <c r="E42" s="10"/>
      <c r="F42" s="10"/>
      <c r="G42" s="10"/>
      <c r="H42" s="79" t="s">
        <v>53</v>
      </c>
      <c r="J42" s="17" t="s">
        <v>69</v>
      </c>
      <c r="K42" s="71" t="s">
        <v>70</v>
      </c>
    </row>
    <row r="43" spans="1:11" ht="14.25">
      <c r="A43" s="91"/>
      <c r="B43" s="16" t="s">
        <v>400</v>
      </c>
      <c r="C43" s="16" t="s">
        <v>61</v>
      </c>
      <c r="D43" s="16" t="s">
        <v>62</v>
      </c>
      <c r="E43" s="16" t="s">
        <v>399</v>
      </c>
      <c r="F43" s="16" t="s">
        <v>63</v>
      </c>
      <c r="G43" s="16" t="s">
        <v>64</v>
      </c>
      <c r="H43" s="80" t="s">
        <v>54</v>
      </c>
      <c r="K43" s="71"/>
    </row>
    <row r="44" spans="1:11" ht="14.25">
      <c r="A44" s="91"/>
      <c r="B44" s="18"/>
      <c r="C44" s="10"/>
      <c r="D44" s="10"/>
      <c r="E44" s="10" t="str">
        <f>'素データ'!Z10</f>
        <v>クッパーズＪｒ</v>
      </c>
      <c r="F44" s="10"/>
      <c r="G44" s="10"/>
      <c r="H44" s="79" t="s">
        <v>52</v>
      </c>
      <c r="J44" s="17" t="s">
        <v>69</v>
      </c>
      <c r="K44" s="71" t="s">
        <v>71</v>
      </c>
    </row>
    <row r="45" spans="1:11" ht="14.25">
      <c r="A45" s="91"/>
      <c r="B45" s="16" t="s">
        <v>400</v>
      </c>
      <c r="C45" s="16" t="s">
        <v>61</v>
      </c>
      <c r="D45" s="16" t="s">
        <v>62</v>
      </c>
      <c r="E45" s="16" t="s">
        <v>399</v>
      </c>
      <c r="F45" s="16" t="s">
        <v>63</v>
      </c>
      <c r="G45" s="16" t="s">
        <v>64</v>
      </c>
      <c r="H45" s="80" t="s">
        <v>54</v>
      </c>
      <c r="K45" s="71"/>
    </row>
    <row r="46" spans="1:11" ht="14.25">
      <c r="A46" s="91"/>
      <c r="B46" s="10" t="str">
        <f>'素データ'!Z10</f>
        <v>クッパーズＪｒ</v>
      </c>
      <c r="C46" s="10"/>
      <c r="D46" s="10"/>
      <c r="E46" s="10"/>
      <c r="F46" s="10"/>
      <c r="G46" s="10"/>
      <c r="H46" s="79" t="s">
        <v>56</v>
      </c>
      <c r="J46" s="17" t="s">
        <v>69</v>
      </c>
      <c r="K46" s="71" t="s">
        <v>70</v>
      </c>
    </row>
    <row r="47" spans="1:11" ht="14.25">
      <c r="A47" s="91"/>
      <c r="B47" s="16" t="s">
        <v>400</v>
      </c>
      <c r="C47" s="16" t="s">
        <v>61</v>
      </c>
      <c r="D47" s="16" t="s">
        <v>62</v>
      </c>
      <c r="E47" s="16" t="s">
        <v>399</v>
      </c>
      <c r="F47" s="16" t="s">
        <v>63</v>
      </c>
      <c r="G47" s="16" t="s">
        <v>64</v>
      </c>
      <c r="H47" s="80" t="s">
        <v>54</v>
      </c>
      <c r="K47" s="71"/>
    </row>
    <row r="48" spans="1:11" ht="15" thickBot="1">
      <c r="A48" s="92"/>
      <c r="B48" s="81"/>
      <c r="C48" s="82"/>
      <c r="D48" s="82"/>
      <c r="E48" s="82" t="str">
        <f>'素データ'!Z10</f>
        <v>クッパーズＪｒ</v>
      </c>
      <c r="F48" s="82"/>
      <c r="G48" s="82"/>
      <c r="H48" s="83" t="s">
        <v>56</v>
      </c>
      <c r="J48" s="17" t="s">
        <v>69</v>
      </c>
      <c r="K48" s="71" t="s">
        <v>71</v>
      </c>
    </row>
    <row r="49" spans="1:15" ht="15" thickTop="1">
      <c r="A49" s="93"/>
      <c r="B49" s="77" t="s">
        <v>400</v>
      </c>
      <c r="C49" s="77" t="s">
        <v>61</v>
      </c>
      <c r="D49" s="77" t="s">
        <v>62</v>
      </c>
      <c r="E49" s="77" t="s">
        <v>399</v>
      </c>
      <c r="F49" s="77" t="s">
        <v>63</v>
      </c>
      <c r="G49" s="77" t="s">
        <v>64</v>
      </c>
      <c r="H49" s="78" t="s">
        <v>54</v>
      </c>
      <c r="K49" s="293" t="s">
        <v>401</v>
      </c>
      <c r="L49" s="783" t="s">
        <v>433</v>
      </c>
      <c r="M49" s="783"/>
      <c r="N49" s="783"/>
      <c r="O49" s="783"/>
    </row>
    <row r="50" spans="1:11" ht="14.25">
      <c r="A50" s="94"/>
      <c r="B50" s="76" t="str">
        <f>'素データ'!Z11</f>
        <v>パイレーツ</v>
      </c>
      <c r="C50" s="10"/>
      <c r="D50" s="10"/>
      <c r="E50" s="10"/>
      <c r="F50" s="10"/>
      <c r="G50" s="10"/>
      <c r="H50" s="79" t="s">
        <v>52</v>
      </c>
      <c r="J50" s="17" t="s">
        <v>69</v>
      </c>
      <c r="K50" s="72" t="s">
        <v>70</v>
      </c>
    </row>
    <row r="51" spans="1:11" ht="14.25">
      <c r="A51" s="94"/>
      <c r="B51" s="16" t="s">
        <v>400</v>
      </c>
      <c r="C51" s="16" t="s">
        <v>61</v>
      </c>
      <c r="D51" s="16" t="s">
        <v>62</v>
      </c>
      <c r="E51" s="16" t="s">
        <v>398</v>
      </c>
      <c r="F51" s="16" t="s">
        <v>63</v>
      </c>
      <c r="G51" s="16" t="s">
        <v>64</v>
      </c>
      <c r="H51" s="80" t="s">
        <v>54</v>
      </c>
      <c r="K51" s="72"/>
    </row>
    <row r="52" spans="1:11" ht="14.25">
      <c r="A52" s="94"/>
      <c r="B52" s="18"/>
      <c r="C52" s="10"/>
      <c r="D52" s="10"/>
      <c r="E52" s="10" t="str">
        <f>'素データ'!Z11</f>
        <v>パイレーツ</v>
      </c>
      <c r="F52" s="10"/>
      <c r="G52" s="10"/>
      <c r="H52" s="79" t="s">
        <v>53</v>
      </c>
      <c r="J52" s="17" t="s">
        <v>69</v>
      </c>
      <c r="K52" s="72" t="s">
        <v>71</v>
      </c>
    </row>
    <row r="53" spans="1:11" ht="14.25">
      <c r="A53" s="94"/>
      <c r="B53" s="16" t="s">
        <v>397</v>
      </c>
      <c r="C53" s="16" t="s">
        <v>61</v>
      </c>
      <c r="D53" s="16" t="s">
        <v>62</v>
      </c>
      <c r="E53" s="16" t="s">
        <v>398</v>
      </c>
      <c r="F53" s="16" t="s">
        <v>63</v>
      </c>
      <c r="G53" s="16" t="s">
        <v>64</v>
      </c>
      <c r="H53" s="80" t="s">
        <v>54</v>
      </c>
      <c r="K53" s="72"/>
    </row>
    <row r="54" spans="1:11" ht="14.25">
      <c r="A54" s="94"/>
      <c r="B54" s="10" t="str">
        <f>'素データ'!Z11</f>
        <v>パイレーツ</v>
      </c>
      <c r="C54" s="10"/>
      <c r="D54" s="10"/>
      <c r="E54" s="10"/>
      <c r="F54" s="10"/>
      <c r="G54" s="10"/>
      <c r="H54" s="79" t="s">
        <v>53</v>
      </c>
      <c r="J54" s="17" t="s">
        <v>69</v>
      </c>
      <c r="K54" s="72" t="s">
        <v>70</v>
      </c>
    </row>
    <row r="55" spans="1:11" ht="14.25">
      <c r="A55" s="94"/>
      <c r="B55" s="16" t="s">
        <v>397</v>
      </c>
      <c r="C55" s="16" t="s">
        <v>61</v>
      </c>
      <c r="D55" s="16" t="s">
        <v>62</v>
      </c>
      <c r="E55" s="16" t="s">
        <v>398</v>
      </c>
      <c r="F55" s="16" t="s">
        <v>63</v>
      </c>
      <c r="G55" s="16" t="s">
        <v>64</v>
      </c>
      <c r="H55" s="80" t="s">
        <v>54</v>
      </c>
      <c r="K55" s="72"/>
    </row>
    <row r="56" spans="1:11" ht="14.25">
      <c r="A56" s="94"/>
      <c r="B56" s="18"/>
      <c r="C56" s="10"/>
      <c r="D56" s="10"/>
      <c r="E56" s="10" t="str">
        <f>'素データ'!Z11</f>
        <v>パイレーツ</v>
      </c>
      <c r="F56" s="10"/>
      <c r="G56" s="10"/>
      <c r="H56" s="79" t="s">
        <v>52</v>
      </c>
      <c r="J56" s="17" t="s">
        <v>69</v>
      </c>
      <c r="K56" s="72" t="s">
        <v>71</v>
      </c>
    </row>
    <row r="57" spans="1:11" ht="14.25">
      <c r="A57" s="94"/>
      <c r="B57" s="16" t="s">
        <v>397</v>
      </c>
      <c r="C57" s="16" t="s">
        <v>61</v>
      </c>
      <c r="D57" s="16" t="s">
        <v>62</v>
      </c>
      <c r="E57" s="16" t="s">
        <v>398</v>
      </c>
      <c r="F57" s="16" t="s">
        <v>63</v>
      </c>
      <c r="G57" s="16" t="s">
        <v>64</v>
      </c>
      <c r="H57" s="80" t="s">
        <v>54</v>
      </c>
      <c r="K57" s="72"/>
    </row>
    <row r="58" spans="1:11" ht="14.25">
      <c r="A58" s="94"/>
      <c r="B58" s="10" t="str">
        <f>'素データ'!Z11</f>
        <v>パイレーツ</v>
      </c>
      <c r="C58" s="10"/>
      <c r="D58" s="10"/>
      <c r="E58" s="10"/>
      <c r="F58" s="10"/>
      <c r="G58" s="10"/>
      <c r="H58" s="79" t="s">
        <v>56</v>
      </c>
      <c r="J58" s="17" t="s">
        <v>69</v>
      </c>
      <c r="K58" s="72" t="s">
        <v>70</v>
      </c>
    </row>
    <row r="59" spans="1:11" ht="14.25">
      <c r="A59" s="94"/>
      <c r="B59" s="16" t="s">
        <v>397</v>
      </c>
      <c r="C59" s="16" t="s">
        <v>61</v>
      </c>
      <c r="D59" s="16" t="s">
        <v>62</v>
      </c>
      <c r="E59" s="16" t="s">
        <v>398</v>
      </c>
      <c r="F59" s="16" t="s">
        <v>63</v>
      </c>
      <c r="G59" s="16" t="s">
        <v>64</v>
      </c>
      <c r="H59" s="80" t="s">
        <v>54</v>
      </c>
      <c r="K59" s="72"/>
    </row>
    <row r="60" spans="1:11" ht="15" thickBot="1">
      <c r="A60" s="95"/>
      <c r="B60" s="81"/>
      <c r="C60" s="82"/>
      <c r="D60" s="82"/>
      <c r="E60" s="82" t="str">
        <f>'素データ'!Z11</f>
        <v>パイレーツ</v>
      </c>
      <c r="F60" s="82"/>
      <c r="G60" s="82"/>
      <c r="H60" s="83" t="s">
        <v>56</v>
      </c>
      <c r="J60" s="17" t="s">
        <v>69</v>
      </c>
      <c r="K60" s="72" t="s">
        <v>71</v>
      </c>
    </row>
    <row r="61" spans="1:15" ht="15" thickTop="1">
      <c r="A61" s="145"/>
      <c r="B61" s="77" t="s">
        <v>400</v>
      </c>
      <c r="C61" s="77" t="s">
        <v>61</v>
      </c>
      <c r="D61" s="77" t="s">
        <v>62</v>
      </c>
      <c r="E61" s="77" t="s">
        <v>399</v>
      </c>
      <c r="F61" s="77" t="s">
        <v>63</v>
      </c>
      <c r="G61" s="77" t="s">
        <v>64</v>
      </c>
      <c r="H61" s="78" t="s">
        <v>54</v>
      </c>
      <c r="K61" s="293" t="s">
        <v>401</v>
      </c>
      <c r="L61" s="783" t="s">
        <v>434</v>
      </c>
      <c r="M61" s="783"/>
      <c r="N61" s="783"/>
      <c r="O61" s="783"/>
    </row>
    <row r="62" spans="1:11" ht="14.25">
      <c r="A62" s="146"/>
      <c r="B62" s="148" t="str">
        <f>'素データ'!Z12</f>
        <v>ベアーズ</v>
      </c>
      <c r="C62" s="10"/>
      <c r="D62" s="10"/>
      <c r="E62" s="10"/>
      <c r="F62" s="10"/>
      <c r="G62" s="10"/>
      <c r="H62" s="79" t="s">
        <v>52</v>
      </c>
      <c r="J62" s="17" t="s">
        <v>69</v>
      </c>
      <c r="K62" s="144" t="s">
        <v>70</v>
      </c>
    </row>
    <row r="63" spans="1:11" ht="14.25">
      <c r="A63" s="146"/>
      <c r="B63" s="16" t="s">
        <v>400</v>
      </c>
      <c r="C63" s="16" t="s">
        <v>61</v>
      </c>
      <c r="D63" s="16" t="s">
        <v>62</v>
      </c>
      <c r="E63" s="16" t="s">
        <v>399</v>
      </c>
      <c r="F63" s="16" t="s">
        <v>63</v>
      </c>
      <c r="G63" s="16" t="s">
        <v>64</v>
      </c>
      <c r="H63" s="80" t="s">
        <v>54</v>
      </c>
      <c r="K63" s="144"/>
    </row>
    <row r="64" spans="1:11" ht="14.25">
      <c r="A64" s="146"/>
      <c r="B64" s="18"/>
      <c r="C64" s="10"/>
      <c r="D64" s="10"/>
      <c r="E64" s="10" t="str">
        <f>'素データ'!Z12</f>
        <v>ベアーズ</v>
      </c>
      <c r="F64" s="10"/>
      <c r="G64" s="10"/>
      <c r="H64" s="79" t="s">
        <v>53</v>
      </c>
      <c r="J64" s="17" t="s">
        <v>69</v>
      </c>
      <c r="K64" s="144" t="s">
        <v>71</v>
      </c>
    </row>
    <row r="65" spans="1:11" ht="14.25">
      <c r="A65" s="146"/>
      <c r="B65" s="16" t="s">
        <v>400</v>
      </c>
      <c r="C65" s="16" t="s">
        <v>61</v>
      </c>
      <c r="D65" s="16" t="s">
        <v>62</v>
      </c>
      <c r="E65" s="16" t="s">
        <v>399</v>
      </c>
      <c r="F65" s="16" t="s">
        <v>63</v>
      </c>
      <c r="G65" s="16" t="s">
        <v>64</v>
      </c>
      <c r="H65" s="80" t="s">
        <v>54</v>
      </c>
      <c r="K65" s="144"/>
    </row>
    <row r="66" spans="1:11" ht="14.25">
      <c r="A66" s="146"/>
      <c r="B66" s="10" t="str">
        <f>'素データ'!Z12</f>
        <v>ベアーズ</v>
      </c>
      <c r="C66" s="10"/>
      <c r="D66" s="10"/>
      <c r="E66" s="10"/>
      <c r="F66" s="10"/>
      <c r="G66" s="10"/>
      <c r="H66" s="79" t="s">
        <v>53</v>
      </c>
      <c r="J66" s="17" t="s">
        <v>69</v>
      </c>
      <c r="K66" s="144" t="s">
        <v>70</v>
      </c>
    </row>
    <row r="67" spans="1:11" ht="14.25">
      <c r="A67" s="146"/>
      <c r="B67" s="16" t="s">
        <v>400</v>
      </c>
      <c r="C67" s="16" t="s">
        <v>61</v>
      </c>
      <c r="D67" s="16" t="s">
        <v>62</v>
      </c>
      <c r="E67" s="16" t="s">
        <v>399</v>
      </c>
      <c r="F67" s="16" t="s">
        <v>63</v>
      </c>
      <c r="G67" s="16" t="s">
        <v>64</v>
      </c>
      <c r="H67" s="80" t="s">
        <v>54</v>
      </c>
      <c r="K67" s="144"/>
    </row>
    <row r="68" spans="1:11" ht="14.25">
      <c r="A68" s="146"/>
      <c r="B68" s="18"/>
      <c r="C68" s="10"/>
      <c r="D68" s="10"/>
      <c r="E68" s="10" t="str">
        <f>'素データ'!Z12</f>
        <v>ベアーズ</v>
      </c>
      <c r="F68" s="10"/>
      <c r="G68" s="10"/>
      <c r="H68" s="79" t="s">
        <v>52</v>
      </c>
      <c r="J68" s="17" t="s">
        <v>69</v>
      </c>
      <c r="K68" s="144" t="s">
        <v>71</v>
      </c>
    </row>
    <row r="69" spans="1:11" ht="14.25">
      <c r="A69" s="146"/>
      <c r="B69" s="16" t="s">
        <v>400</v>
      </c>
      <c r="C69" s="16" t="s">
        <v>61</v>
      </c>
      <c r="D69" s="16" t="s">
        <v>62</v>
      </c>
      <c r="E69" s="16" t="s">
        <v>399</v>
      </c>
      <c r="F69" s="16" t="s">
        <v>63</v>
      </c>
      <c r="G69" s="16" t="s">
        <v>64</v>
      </c>
      <c r="H69" s="80" t="s">
        <v>54</v>
      </c>
      <c r="K69" s="144"/>
    </row>
    <row r="70" spans="1:11" ht="14.25">
      <c r="A70" s="146"/>
      <c r="B70" s="10" t="str">
        <f>'素データ'!Z12</f>
        <v>ベアーズ</v>
      </c>
      <c r="C70" s="10"/>
      <c r="D70" s="10"/>
      <c r="E70" s="10"/>
      <c r="F70" s="10"/>
      <c r="G70" s="10"/>
      <c r="H70" s="79" t="s">
        <v>56</v>
      </c>
      <c r="J70" s="17" t="s">
        <v>69</v>
      </c>
      <c r="K70" s="144" t="s">
        <v>70</v>
      </c>
    </row>
    <row r="71" spans="1:11" ht="14.25">
      <c r="A71" s="146"/>
      <c r="B71" s="16" t="s">
        <v>400</v>
      </c>
      <c r="C71" s="16" t="s">
        <v>61</v>
      </c>
      <c r="D71" s="16" t="s">
        <v>62</v>
      </c>
      <c r="E71" s="16" t="s">
        <v>399</v>
      </c>
      <c r="F71" s="16" t="s">
        <v>63</v>
      </c>
      <c r="G71" s="16" t="s">
        <v>64</v>
      </c>
      <c r="H71" s="80" t="s">
        <v>54</v>
      </c>
      <c r="K71" s="144"/>
    </row>
    <row r="72" spans="1:11" ht="15" thickBot="1">
      <c r="A72" s="147"/>
      <c r="B72" s="81"/>
      <c r="C72" s="82"/>
      <c r="D72" s="82"/>
      <c r="E72" s="82" t="str">
        <f>'素データ'!Z12</f>
        <v>ベアーズ</v>
      </c>
      <c r="F72" s="82"/>
      <c r="G72" s="82"/>
      <c r="H72" s="83" t="s">
        <v>56</v>
      </c>
      <c r="J72" s="17" t="s">
        <v>69</v>
      </c>
      <c r="K72" s="144" t="s">
        <v>71</v>
      </c>
    </row>
    <row r="73" spans="1:15" ht="15" thickTop="1">
      <c r="A73" s="239"/>
      <c r="B73" s="77" t="s">
        <v>400</v>
      </c>
      <c r="C73" s="77" t="s">
        <v>61</v>
      </c>
      <c r="D73" s="77" t="s">
        <v>62</v>
      </c>
      <c r="E73" s="77" t="s">
        <v>399</v>
      </c>
      <c r="F73" s="77" t="s">
        <v>63</v>
      </c>
      <c r="G73" s="77" t="s">
        <v>64</v>
      </c>
      <c r="H73" s="78" t="s">
        <v>54</v>
      </c>
      <c r="K73" s="293" t="s">
        <v>401</v>
      </c>
      <c r="L73" s="783" t="s">
        <v>435</v>
      </c>
      <c r="M73" s="783"/>
      <c r="N73" s="783"/>
      <c r="O73" s="783"/>
    </row>
    <row r="74" spans="1:11" ht="14.25">
      <c r="A74" s="240"/>
      <c r="B74" s="238" t="str">
        <f>'素データ'!Z13</f>
        <v>サンデーズＪｒＢ</v>
      </c>
      <c r="C74" s="10"/>
      <c r="D74" s="10"/>
      <c r="E74" s="10"/>
      <c r="F74" s="10"/>
      <c r="G74" s="10"/>
      <c r="H74" s="79" t="s">
        <v>52</v>
      </c>
      <c r="J74" s="17" t="s">
        <v>69</v>
      </c>
      <c r="K74" s="237" t="s">
        <v>70</v>
      </c>
    </row>
    <row r="75" spans="1:11" ht="14.25">
      <c r="A75" s="240"/>
      <c r="B75" s="16" t="s">
        <v>400</v>
      </c>
      <c r="C75" s="16" t="s">
        <v>61</v>
      </c>
      <c r="D75" s="16" t="s">
        <v>62</v>
      </c>
      <c r="E75" s="16" t="s">
        <v>399</v>
      </c>
      <c r="F75" s="16" t="s">
        <v>63</v>
      </c>
      <c r="G75" s="16" t="s">
        <v>64</v>
      </c>
      <c r="H75" s="80" t="s">
        <v>54</v>
      </c>
      <c r="K75" s="237"/>
    </row>
    <row r="76" spans="1:11" ht="14.25">
      <c r="A76" s="240"/>
      <c r="B76" s="18"/>
      <c r="C76" s="10"/>
      <c r="D76" s="10"/>
      <c r="E76" s="10" t="str">
        <f>'素データ'!Z13</f>
        <v>サンデーズＪｒＢ</v>
      </c>
      <c r="F76" s="10"/>
      <c r="G76" s="10"/>
      <c r="H76" s="79" t="s">
        <v>53</v>
      </c>
      <c r="J76" s="17" t="s">
        <v>69</v>
      </c>
      <c r="K76" s="237" t="s">
        <v>71</v>
      </c>
    </row>
    <row r="77" spans="1:11" ht="14.25">
      <c r="A77" s="240"/>
      <c r="B77" s="16" t="s">
        <v>400</v>
      </c>
      <c r="C77" s="16" t="s">
        <v>61</v>
      </c>
      <c r="D77" s="16" t="s">
        <v>62</v>
      </c>
      <c r="E77" s="16" t="s">
        <v>399</v>
      </c>
      <c r="F77" s="16" t="s">
        <v>63</v>
      </c>
      <c r="G77" s="16" t="s">
        <v>64</v>
      </c>
      <c r="H77" s="80" t="s">
        <v>54</v>
      </c>
      <c r="K77" s="237"/>
    </row>
    <row r="78" spans="1:11" ht="14.25">
      <c r="A78" s="240"/>
      <c r="B78" s="10" t="str">
        <f>'素データ'!Z13</f>
        <v>サンデーズＪｒＢ</v>
      </c>
      <c r="C78" s="10"/>
      <c r="D78" s="10"/>
      <c r="E78" s="10"/>
      <c r="F78" s="10"/>
      <c r="G78" s="10"/>
      <c r="H78" s="79" t="s">
        <v>53</v>
      </c>
      <c r="J78" s="17" t="s">
        <v>69</v>
      </c>
      <c r="K78" s="237" t="s">
        <v>70</v>
      </c>
    </row>
    <row r="79" spans="1:11" ht="14.25">
      <c r="A79" s="240"/>
      <c r="B79" s="16" t="s">
        <v>400</v>
      </c>
      <c r="C79" s="16" t="s">
        <v>61</v>
      </c>
      <c r="D79" s="16" t="s">
        <v>62</v>
      </c>
      <c r="E79" s="16" t="s">
        <v>399</v>
      </c>
      <c r="F79" s="16" t="s">
        <v>63</v>
      </c>
      <c r="G79" s="16" t="s">
        <v>64</v>
      </c>
      <c r="H79" s="80" t="s">
        <v>54</v>
      </c>
      <c r="K79" s="237"/>
    </row>
    <row r="80" spans="1:11" ht="14.25">
      <c r="A80" s="240"/>
      <c r="B80" s="18"/>
      <c r="C80" s="10"/>
      <c r="D80" s="10"/>
      <c r="E80" s="10" t="str">
        <f>'素データ'!Z13</f>
        <v>サンデーズＪｒＢ</v>
      </c>
      <c r="F80" s="10"/>
      <c r="G80" s="10"/>
      <c r="H80" s="79" t="s">
        <v>52</v>
      </c>
      <c r="J80" s="17" t="s">
        <v>69</v>
      </c>
      <c r="K80" s="237" t="s">
        <v>71</v>
      </c>
    </row>
    <row r="81" spans="1:11" ht="14.25">
      <c r="A81" s="240"/>
      <c r="B81" s="16" t="s">
        <v>400</v>
      </c>
      <c r="C81" s="16" t="s">
        <v>61</v>
      </c>
      <c r="D81" s="16" t="s">
        <v>62</v>
      </c>
      <c r="E81" s="16" t="s">
        <v>399</v>
      </c>
      <c r="F81" s="16" t="s">
        <v>63</v>
      </c>
      <c r="G81" s="16" t="s">
        <v>64</v>
      </c>
      <c r="H81" s="80" t="s">
        <v>54</v>
      </c>
      <c r="K81" s="237"/>
    </row>
    <row r="82" spans="1:11" ht="14.25">
      <c r="A82" s="240"/>
      <c r="B82" s="10" t="str">
        <f>'素データ'!Z13</f>
        <v>サンデーズＪｒＢ</v>
      </c>
      <c r="C82" s="10"/>
      <c r="D82" s="10"/>
      <c r="E82" s="10"/>
      <c r="F82" s="10"/>
      <c r="G82" s="10"/>
      <c r="H82" s="79" t="s">
        <v>56</v>
      </c>
      <c r="J82" s="17" t="s">
        <v>69</v>
      </c>
      <c r="K82" s="237" t="s">
        <v>70</v>
      </c>
    </row>
    <row r="83" spans="1:11" ht="14.25">
      <c r="A83" s="240"/>
      <c r="B83" s="16" t="s">
        <v>400</v>
      </c>
      <c r="C83" s="16" t="s">
        <v>61</v>
      </c>
      <c r="D83" s="16" t="s">
        <v>62</v>
      </c>
      <c r="E83" s="16" t="s">
        <v>399</v>
      </c>
      <c r="F83" s="16" t="s">
        <v>63</v>
      </c>
      <c r="G83" s="16" t="s">
        <v>64</v>
      </c>
      <c r="H83" s="80" t="s">
        <v>54</v>
      </c>
      <c r="K83" s="237"/>
    </row>
    <row r="84" spans="1:11" ht="15" thickBot="1">
      <c r="A84" s="241"/>
      <c r="B84" s="81"/>
      <c r="C84" s="82"/>
      <c r="D84" s="82"/>
      <c r="E84" s="82" t="str">
        <f>'素データ'!Z13</f>
        <v>サンデーズＪｒＢ</v>
      </c>
      <c r="F84" s="82"/>
      <c r="G84" s="82"/>
      <c r="H84" s="83" t="s">
        <v>56</v>
      </c>
      <c r="J84" s="17" t="s">
        <v>69</v>
      </c>
      <c r="K84" s="237" t="s">
        <v>71</v>
      </c>
    </row>
    <row r="85" spans="1:15" ht="15" thickTop="1">
      <c r="A85" s="96"/>
      <c r="B85" s="77" t="s">
        <v>400</v>
      </c>
      <c r="C85" s="77" t="s">
        <v>61</v>
      </c>
      <c r="D85" s="77" t="s">
        <v>62</v>
      </c>
      <c r="E85" s="77" t="s">
        <v>399</v>
      </c>
      <c r="F85" s="77" t="s">
        <v>63</v>
      </c>
      <c r="G85" s="77" t="s">
        <v>64</v>
      </c>
      <c r="H85" s="78" t="s">
        <v>54</v>
      </c>
      <c r="K85" s="293" t="s">
        <v>401</v>
      </c>
      <c r="L85" s="783" t="s">
        <v>436</v>
      </c>
      <c r="M85" s="783"/>
      <c r="N85" s="783"/>
      <c r="O85" s="783"/>
    </row>
    <row r="86" spans="1:11" ht="14.25">
      <c r="A86" s="97"/>
      <c r="B86" s="10" t="str">
        <f>'素データ'!Z14</f>
        <v>Dummy</v>
      </c>
      <c r="C86" s="10"/>
      <c r="D86" s="10"/>
      <c r="E86" s="10"/>
      <c r="F86" s="10"/>
      <c r="G86" s="10"/>
      <c r="H86" s="79" t="s">
        <v>52</v>
      </c>
      <c r="J86" s="17" t="s">
        <v>69</v>
      </c>
      <c r="K86" s="2" t="s">
        <v>70</v>
      </c>
    </row>
    <row r="87" spans="1:8" ht="14.25">
      <c r="A87" s="97"/>
      <c r="B87" s="16" t="s">
        <v>400</v>
      </c>
      <c r="C87" s="16" t="s">
        <v>61</v>
      </c>
      <c r="D87" s="16" t="s">
        <v>62</v>
      </c>
      <c r="E87" s="16" t="s">
        <v>399</v>
      </c>
      <c r="F87" s="16" t="s">
        <v>63</v>
      </c>
      <c r="G87" s="16" t="s">
        <v>64</v>
      </c>
      <c r="H87" s="80" t="s">
        <v>54</v>
      </c>
    </row>
    <row r="88" spans="1:11" ht="14.25">
      <c r="A88" s="97"/>
      <c r="B88" s="18"/>
      <c r="C88" s="10"/>
      <c r="D88" s="10"/>
      <c r="E88" s="10" t="str">
        <f>'素データ'!Z14</f>
        <v>Dummy</v>
      </c>
      <c r="F88" s="10"/>
      <c r="G88" s="10"/>
      <c r="H88" s="79" t="s">
        <v>53</v>
      </c>
      <c r="J88" s="17" t="s">
        <v>69</v>
      </c>
      <c r="K88" s="2" t="s">
        <v>71</v>
      </c>
    </row>
    <row r="89" spans="1:8" ht="14.25">
      <c r="A89" s="97"/>
      <c r="B89" s="16" t="s">
        <v>400</v>
      </c>
      <c r="C89" s="16" t="s">
        <v>61</v>
      </c>
      <c r="D89" s="16" t="s">
        <v>62</v>
      </c>
      <c r="E89" s="16" t="s">
        <v>399</v>
      </c>
      <c r="F89" s="16" t="s">
        <v>63</v>
      </c>
      <c r="G89" s="16" t="s">
        <v>64</v>
      </c>
      <c r="H89" s="80" t="s">
        <v>54</v>
      </c>
    </row>
    <row r="90" spans="1:11" ht="14.25">
      <c r="A90" s="97"/>
      <c r="B90" s="10" t="str">
        <f>'素データ'!Z14</f>
        <v>Dummy</v>
      </c>
      <c r="C90" s="10"/>
      <c r="D90" s="10"/>
      <c r="E90" s="10"/>
      <c r="F90" s="10"/>
      <c r="G90" s="10"/>
      <c r="H90" s="79" t="s">
        <v>53</v>
      </c>
      <c r="J90" s="17" t="s">
        <v>69</v>
      </c>
      <c r="K90" s="2" t="s">
        <v>70</v>
      </c>
    </row>
    <row r="91" spans="1:8" ht="14.25">
      <c r="A91" s="97"/>
      <c r="B91" s="16" t="s">
        <v>400</v>
      </c>
      <c r="C91" s="16" t="s">
        <v>61</v>
      </c>
      <c r="D91" s="16" t="s">
        <v>62</v>
      </c>
      <c r="E91" s="16" t="s">
        <v>399</v>
      </c>
      <c r="F91" s="16" t="s">
        <v>63</v>
      </c>
      <c r="G91" s="16" t="s">
        <v>64</v>
      </c>
      <c r="H91" s="80" t="s">
        <v>54</v>
      </c>
    </row>
    <row r="92" spans="1:11" ht="14.25">
      <c r="A92" s="97"/>
      <c r="B92" s="18"/>
      <c r="C92" s="10"/>
      <c r="D92" s="10"/>
      <c r="E92" s="10" t="str">
        <f>'素データ'!Z14</f>
        <v>Dummy</v>
      </c>
      <c r="F92" s="10"/>
      <c r="G92" s="10"/>
      <c r="H92" s="79" t="s">
        <v>52</v>
      </c>
      <c r="J92" s="17" t="s">
        <v>69</v>
      </c>
      <c r="K92" s="2" t="s">
        <v>71</v>
      </c>
    </row>
    <row r="93" spans="1:8" ht="14.25">
      <c r="A93" s="97"/>
      <c r="B93" s="16" t="s">
        <v>400</v>
      </c>
      <c r="C93" s="16" t="s">
        <v>61</v>
      </c>
      <c r="D93" s="16" t="s">
        <v>62</v>
      </c>
      <c r="E93" s="16" t="s">
        <v>399</v>
      </c>
      <c r="F93" s="16" t="s">
        <v>63</v>
      </c>
      <c r="G93" s="16" t="s">
        <v>64</v>
      </c>
      <c r="H93" s="80" t="s">
        <v>54</v>
      </c>
    </row>
    <row r="94" spans="1:11" ht="14.25">
      <c r="A94" s="97"/>
      <c r="B94" s="10" t="str">
        <f>'素データ'!Z14</f>
        <v>Dummy</v>
      </c>
      <c r="C94" s="10"/>
      <c r="D94" s="10"/>
      <c r="E94" s="10"/>
      <c r="F94" s="10"/>
      <c r="G94" s="10"/>
      <c r="H94" s="79" t="s">
        <v>56</v>
      </c>
      <c r="J94" s="17" t="s">
        <v>69</v>
      </c>
      <c r="K94" s="2" t="s">
        <v>70</v>
      </c>
    </row>
    <row r="95" spans="1:8" ht="14.25">
      <c r="A95" s="97"/>
      <c r="B95" s="16" t="s">
        <v>400</v>
      </c>
      <c r="C95" s="16" t="s">
        <v>61</v>
      </c>
      <c r="D95" s="16" t="s">
        <v>62</v>
      </c>
      <c r="E95" s="16" t="s">
        <v>399</v>
      </c>
      <c r="F95" s="16" t="s">
        <v>63</v>
      </c>
      <c r="G95" s="16" t="s">
        <v>64</v>
      </c>
      <c r="H95" s="80" t="s">
        <v>54</v>
      </c>
    </row>
    <row r="96" spans="1:11" ht="15" thickBot="1">
      <c r="A96" s="98"/>
      <c r="B96" s="81"/>
      <c r="C96" s="82"/>
      <c r="D96" s="82"/>
      <c r="E96" s="82" t="str">
        <f>'素データ'!Z14</f>
        <v>Dummy</v>
      </c>
      <c r="F96" s="82"/>
      <c r="G96" s="82"/>
      <c r="H96" s="83" t="s">
        <v>56</v>
      </c>
      <c r="J96" s="17" t="s">
        <v>69</v>
      </c>
      <c r="K96" s="2" t="s">
        <v>71</v>
      </c>
    </row>
    <row r="97" ht="15" thickTop="1"/>
  </sheetData>
  <sheetProtection/>
  <mergeCells count="8">
    <mergeCell ref="L49:O49"/>
    <mergeCell ref="L61:O61"/>
    <mergeCell ref="L73:O73"/>
    <mergeCell ref="L85:O85"/>
    <mergeCell ref="L1:O1"/>
    <mergeCell ref="L13:O13"/>
    <mergeCell ref="L25:O25"/>
    <mergeCell ref="L37:O37"/>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A1:R37"/>
  <sheetViews>
    <sheetView showGridLines="0" workbookViewId="0" topLeftCell="A1">
      <selection activeCell="H32" sqref="H32"/>
    </sheetView>
  </sheetViews>
  <sheetFormatPr defaultColWidth="8.796875" defaultRowHeight="15"/>
  <cols>
    <col min="1" max="1" width="3.19921875" style="60" customWidth="1"/>
    <col min="2" max="2" width="13.09765625" style="60" customWidth="1"/>
    <col min="3" max="16384" width="9" style="60" customWidth="1"/>
  </cols>
  <sheetData>
    <row r="1" spans="1:18" ht="15.75">
      <c r="A1" s="59"/>
      <c r="B1" s="59"/>
      <c r="C1" s="59"/>
      <c r="D1" s="59"/>
      <c r="E1" s="59"/>
      <c r="F1" s="59"/>
      <c r="G1" s="59"/>
      <c r="H1" s="59"/>
      <c r="I1" s="59"/>
      <c r="J1" s="59"/>
      <c r="K1" s="59"/>
      <c r="L1" s="59"/>
      <c r="M1" s="59"/>
      <c r="N1" s="59"/>
      <c r="O1" s="59"/>
      <c r="P1" s="59"/>
      <c r="Q1" s="59"/>
      <c r="R1" s="59"/>
    </row>
    <row r="2" spans="1:18" ht="15.75">
      <c r="A2" s="59"/>
      <c r="B2" s="59" t="s">
        <v>139</v>
      </c>
      <c r="C2" s="59"/>
      <c r="D2" s="59"/>
      <c r="E2" s="59"/>
      <c r="F2" s="59"/>
      <c r="G2" s="59"/>
      <c r="H2" s="59"/>
      <c r="I2" s="59"/>
      <c r="J2" s="59"/>
      <c r="K2" s="59"/>
      <c r="L2" s="59"/>
      <c r="M2" s="59"/>
      <c r="N2" s="59"/>
      <c r="O2" s="59"/>
      <c r="P2" s="59"/>
      <c r="Q2" s="59"/>
      <c r="R2" s="59"/>
    </row>
    <row r="3" spans="1:18" ht="15.75">
      <c r="A3" s="59"/>
      <c r="B3" s="59"/>
      <c r="C3" s="59"/>
      <c r="D3" s="59"/>
      <c r="E3" s="59"/>
      <c r="F3" s="59"/>
      <c r="G3" s="59"/>
      <c r="H3" s="59"/>
      <c r="I3" s="59"/>
      <c r="J3" s="59"/>
      <c r="K3" s="59"/>
      <c r="L3" s="59"/>
      <c r="M3" s="59"/>
      <c r="N3" s="59"/>
      <c r="O3" s="59"/>
      <c r="P3" s="59"/>
      <c r="Q3" s="59"/>
      <c r="R3" s="59"/>
    </row>
    <row r="4" spans="1:18" ht="15.75">
      <c r="A4" s="59"/>
      <c r="B4" s="61" t="s">
        <v>140</v>
      </c>
      <c r="C4" s="59"/>
      <c r="D4" s="59"/>
      <c r="E4" s="59"/>
      <c r="F4" s="59"/>
      <c r="G4" s="59"/>
      <c r="H4" s="59"/>
      <c r="I4" s="59"/>
      <c r="J4" s="59"/>
      <c r="K4" s="59"/>
      <c r="L4" s="59"/>
      <c r="M4" s="59"/>
      <c r="N4" s="59"/>
      <c r="O4" s="59"/>
      <c r="P4" s="59"/>
      <c r="Q4" s="59"/>
      <c r="R4" s="59"/>
    </row>
    <row r="5" spans="1:18" ht="15.75">
      <c r="A5" s="59"/>
      <c r="B5" s="62" t="s">
        <v>199</v>
      </c>
      <c r="C5" s="62" t="s">
        <v>200</v>
      </c>
      <c r="D5" s="59"/>
      <c r="E5" s="59"/>
      <c r="F5" s="59"/>
      <c r="G5" s="59"/>
      <c r="H5" s="59"/>
      <c r="I5" s="59"/>
      <c r="J5" s="59"/>
      <c r="K5" s="59"/>
      <c r="L5" s="59"/>
      <c r="M5" s="59"/>
      <c r="N5" s="59"/>
      <c r="O5" s="59"/>
      <c r="P5" s="59"/>
      <c r="Q5" s="59"/>
      <c r="R5" s="59"/>
    </row>
    <row r="6" spans="1:18" ht="15.75">
      <c r="A6" s="59"/>
      <c r="B6" s="61"/>
      <c r="C6" s="59" t="s">
        <v>201</v>
      </c>
      <c r="D6" s="59"/>
      <c r="E6" s="59"/>
      <c r="F6" s="59"/>
      <c r="G6" s="59"/>
      <c r="H6" s="59"/>
      <c r="I6" s="59"/>
      <c r="J6" s="59"/>
      <c r="K6" s="59"/>
      <c r="L6" s="59"/>
      <c r="M6" s="59"/>
      <c r="N6" s="59"/>
      <c r="O6" s="59"/>
      <c r="P6" s="59"/>
      <c r="Q6" s="59"/>
      <c r="R6" s="59"/>
    </row>
    <row r="7" spans="1:18" ht="15.75">
      <c r="A7" s="59"/>
      <c r="B7" s="61"/>
      <c r="C7" s="59" t="s">
        <v>202</v>
      </c>
      <c r="D7" s="59"/>
      <c r="E7" s="59"/>
      <c r="F7" s="59"/>
      <c r="G7" s="59"/>
      <c r="H7" s="59"/>
      <c r="I7" s="59"/>
      <c r="J7" s="59"/>
      <c r="K7" s="59"/>
      <c r="L7" s="59"/>
      <c r="M7" s="59"/>
      <c r="N7" s="59"/>
      <c r="O7" s="59"/>
      <c r="P7" s="59"/>
      <c r="Q7" s="59"/>
      <c r="R7" s="59"/>
    </row>
    <row r="8" spans="1:18" ht="15.75">
      <c r="A8" s="59"/>
      <c r="B8" s="61"/>
      <c r="C8" s="59" t="s">
        <v>203</v>
      </c>
      <c r="D8" s="59"/>
      <c r="E8" s="59"/>
      <c r="F8" s="59"/>
      <c r="G8" s="59"/>
      <c r="H8" s="59"/>
      <c r="I8" s="59"/>
      <c r="J8" s="59"/>
      <c r="K8" s="59"/>
      <c r="L8" s="59"/>
      <c r="M8" s="59"/>
      <c r="N8" s="59"/>
      <c r="O8" s="59"/>
      <c r="P8" s="59"/>
      <c r="Q8" s="59"/>
      <c r="R8" s="59"/>
    </row>
    <row r="9" spans="1:18" ht="15.75">
      <c r="A9" s="59"/>
      <c r="B9" s="61"/>
      <c r="C9" s="59" t="s">
        <v>204</v>
      </c>
      <c r="D9" s="59"/>
      <c r="E9" s="59"/>
      <c r="F9" s="59"/>
      <c r="G9" s="59"/>
      <c r="H9" s="59"/>
      <c r="I9" s="59"/>
      <c r="J9" s="59"/>
      <c r="K9" s="59"/>
      <c r="L9" s="59"/>
      <c r="M9" s="59"/>
      <c r="N9" s="59"/>
      <c r="O9" s="59"/>
      <c r="P9" s="59"/>
      <c r="Q9" s="59"/>
      <c r="R9" s="59"/>
    </row>
    <row r="10" spans="1:18" ht="15.75">
      <c r="A10" s="59"/>
      <c r="B10" s="61"/>
      <c r="C10" s="59" t="s">
        <v>205</v>
      </c>
      <c r="D10" s="59"/>
      <c r="E10" s="59"/>
      <c r="F10" s="59"/>
      <c r="G10" s="59"/>
      <c r="H10" s="59"/>
      <c r="I10" s="59"/>
      <c r="J10" s="59"/>
      <c r="K10" s="59"/>
      <c r="L10" s="59"/>
      <c r="M10" s="59"/>
      <c r="N10" s="59"/>
      <c r="O10" s="59"/>
      <c r="P10" s="59"/>
      <c r="Q10" s="59"/>
      <c r="R10" s="59"/>
    </row>
    <row r="11" spans="1:18" ht="15.75">
      <c r="A11" s="59"/>
      <c r="B11" s="61"/>
      <c r="C11" s="62" t="s">
        <v>206</v>
      </c>
      <c r="D11" s="59"/>
      <c r="E11" s="59"/>
      <c r="F11" s="59"/>
      <c r="G11" s="59"/>
      <c r="H11" s="59"/>
      <c r="I11" s="59"/>
      <c r="J11" s="59"/>
      <c r="K11" s="59"/>
      <c r="L11" s="59"/>
      <c r="M11" s="59"/>
      <c r="N11" s="59"/>
      <c r="O11" s="59"/>
      <c r="P11" s="59"/>
      <c r="Q11" s="59"/>
      <c r="R11" s="59"/>
    </row>
    <row r="12" spans="1:18" ht="15.75">
      <c r="A12" s="59"/>
      <c r="B12" s="62" t="s">
        <v>197</v>
      </c>
      <c r="C12" s="62" t="s">
        <v>141</v>
      </c>
      <c r="D12" s="59"/>
      <c r="E12" s="59"/>
      <c r="F12" s="59"/>
      <c r="G12" s="59"/>
      <c r="H12" s="59"/>
      <c r="I12" s="59"/>
      <c r="J12" s="59"/>
      <c r="K12" s="59"/>
      <c r="L12" s="59"/>
      <c r="M12" s="59"/>
      <c r="N12" s="59"/>
      <c r="O12" s="59"/>
      <c r="P12" s="59"/>
      <c r="Q12" s="59"/>
      <c r="R12" s="59"/>
    </row>
    <row r="13" spans="1:18" ht="15.75">
      <c r="A13" s="59"/>
      <c r="B13" s="62"/>
      <c r="C13" s="59" t="s">
        <v>207</v>
      </c>
      <c r="D13" s="59"/>
      <c r="E13" s="59"/>
      <c r="F13" s="59"/>
      <c r="G13" s="59"/>
      <c r="H13" s="59"/>
      <c r="I13" s="59"/>
      <c r="J13" s="59"/>
      <c r="K13" s="59"/>
      <c r="L13" s="59"/>
      <c r="M13" s="59"/>
      <c r="N13" s="59"/>
      <c r="O13" s="59"/>
      <c r="P13" s="59"/>
      <c r="Q13" s="59"/>
      <c r="R13" s="59"/>
    </row>
    <row r="14" spans="1:18" ht="15.75">
      <c r="A14" s="59"/>
      <c r="B14" s="59"/>
      <c r="C14" s="59" t="s">
        <v>142</v>
      </c>
      <c r="D14" s="59"/>
      <c r="E14" s="59"/>
      <c r="F14" s="59"/>
      <c r="G14" s="59"/>
      <c r="H14" s="59"/>
      <c r="I14" s="59"/>
      <c r="J14" s="59"/>
      <c r="K14" s="59"/>
      <c r="L14" s="59"/>
      <c r="M14" s="59"/>
      <c r="N14" s="59"/>
      <c r="O14" s="59"/>
      <c r="P14" s="59"/>
      <c r="Q14" s="59"/>
      <c r="R14" s="59"/>
    </row>
    <row r="15" spans="1:18" ht="15.75">
      <c r="A15" s="59"/>
      <c r="B15" s="62" t="s">
        <v>198</v>
      </c>
      <c r="C15" s="62" t="s">
        <v>143</v>
      </c>
      <c r="D15" s="59"/>
      <c r="E15" s="59"/>
      <c r="F15" s="59"/>
      <c r="G15" s="59"/>
      <c r="H15" s="59"/>
      <c r="I15" s="59"/>
      <c r="J15" s="59"/>
      <c r="K15" s="59"/>
      <c r="L15" s="59"/>
      <c r="M15" s="59"/>
      <c r="N15" s="59"/>
      <c r="O15" s="59"/>
      <c r="P15" s="59"/>
      <c r="Q15" s="59"/>
      <c r="R15" s="59"/>
    </row>
    <row r="16" spans="1:18" ht="15.75">
      <c r="A16" s="59"/>
      <c r="B16" s="59"/>
      <c r="C16" s="59" t="s">
        <v>153</v>
      </c>
      <c r="D16" s="59"/>
      <c r="E16" s="59"/>
      <c r="F16" s="59"/>
      <c r="G16" s="59"/>
      <c r="H16" s="59"/>
      <c r="I16" s="59"/>
      <c r="J16" s="59"/>
      <c r="K16" s="59"/>
      <c r="L16" s="59"/>
      <c r="M16" s="59"/>
      <c r="N16" s="59"/>
      <c r="O16" s="59"/>
      <c r="P16" s="59"/>
      <c r="Q16" s="59"/>
      <c r="R16" s="59"/>
    </row>
    <row r="17" spans="1:18" ht="15.75">
      <c r="A17" s="59"/>
      <c r="B17" s="61" t="s">
        <v>208</v>
      </c>
      <c r="C17" s="59"/>
      <c r="D17" s="59"/>
      <c r="E17" s="59"/>
      <c r="F17" s="59"/>
      <c r="G17" s="59"/>
      <c r="H17" s="59"/>
      <c r="I17" s="59"/>
      <c r="J17" s="59"/>
      <c r="K17" s="59"/>
      <c r="L17" s="59"/>
      <c r="M17" s="59"/>
      <c r="N17" s="59"/>
      <c r="O17" s="59"/>
      <c r="P17" s="59"/>
      <c r="Q17" s="59"/>
      <c r="R17" s="59"/>
    </row>
    <row r="18" spans="1:18" ht="15.75">
      <c r="A18" s="59"/>
      <c r="B18" s="62" t="s">
        <v>144</v>
      </c>
      <c r="C18" s="62" t="s">
        <v>145</v>
      </c>
      <c r="D18" s="59"/>
      <c r="E18" s="59"/>
      <c r="F18" s="59"/>
      <c r="G18" s="59"/>
      <c r="H18" s="59"/>
      <c r="I18" s="59"/>
      <c r="J18" s="59"/>
      <c r="K18" s="59"/>
      <c r="L18" s="59"/>
      <c r="M18" s="59"/>
      <c r="N18" s="59"/>
      <c r="O18" s="59"/>
      <c r="P18" s="59"/>
      <c r="Q18" s="59"/>
      <c r="R18" s="59"/>
    </row>
    <row r="19" spans="1:18" ht="15.75">
      <c r="A19" s="59"/>
      <c r="B19" s="59"/>
      <c r="C19" s="59" t="s">
        <v>154</v>
      </c>
      <c r="D19" s="59"/>
      <c r="E19" s="59"/>
      <c r="F19" s="59"/>
      <c r="G19" s="59"/>
      <c r="H19" s="59"/>
      <c r="I19" s="59"/>
      <c r="J19" s="59"/>
      <c r="K19" s="59"/>
      <c r="L19" s="59"/>
      <c r="M19" s="59"/>
      <c r="N19" s="59"/>
      <c r="O19" s="59"/>
      <c r="P19" s="59"/>
      <c r="Q19" s="59"/>
      <c r="R19" s="59"/>
    </row>
    <row r="20" spans="1:18" ht="15.75">
      <c r="A20" s="59"/>
      <c r="B20" s="59"/>
      <c r="C20" s="59" t="s">
        <v>146</v>
      </c>
      <c r="D20" s="59"/>
      <c r="E20" s="59"/>
      <c r="F20" s="59"/>
      <c r="G20" s="59"/>
      <c r="H20" s="59"/>
      <c r="I20" s="59"/>
      <c r="J20" s="59"/>
      <c r="K20" s="59"/>
      <c r="L20" s="59"/>
      <c r="M20" s="59"/>
      <c r="N20" s="59"/>
      <c r="O20" s="59"/>
      <c r="P20" s="59"/>
      <c r="Q20" s="59"/>
      <c r="R20" s="59"/>
    </row>
    <row r="21" spans="1:18" ht="15.75">
      <c r="A21" s="59"/>
      <c r="B21" s="62" t="s">
        <v>147</v>
      </c>
      <c r="C21" s="62" t="s">
        <v>148</v>
      </c>
      <c r="D21" s="59"/>
      <c r="E21" s="59"/>
      <c r="F21" s="59"/>
      <c r="G21" s="59"/>
      <c r="H21" s="59"/>
      <c r="I21" s="59"/>
      <c r="J21" s="59"/>
      <c r="K21" s="59"/>
      <c r="L21" s="59"/>
      <c r="M21" s="59"/>
      <c r="N21" s="59"/>
      <c r="O21" s="59"/>
      <c r="P21" s="59"/>
      <c r="Q21" s="59"/>
      <c r="R21" s="59"/>
    </row>
    <row r="22" spans="1:18" ht="15.75">
      <c r="A22" s="59"/>
      <c r="B22" s="59"/>
      <c r="C22" s="59" t="s">
        <v>209</v>
      </c>
      <c r="D22" s="59"/>
      <c r="E22" s="59"/>
      <c r="F22" s="59"/>
      <c r="G22" s="59"/>
      <c r="H22" s="59"/>
      <c r="I22" s="59"/>
      <c r="J22" s="59"/>
      <c r="K22" s="59"/>
      <c r="L22" s="59"/>
      <c r="M22" s="59"/>
      <c r="N22" s="59"/>
      <c r="O22" s="59"/>
      <c r="P22" s="59"/>
      <c r="Q22" s="59"/>
      <c r="R22" s="59"/>
    </row>
    <row r="23" spans="1:18" ht="15.75">
      <c r="A23" s="59"/>
      <c r="B23" s="59"/>
      <c r="C23" s="59"/>
      <c r="D23" s="59"/>
      <c r="E23" s="59"/>
      <c r="F23" s="59"/>
      <c r="G23" s="59"/>
      <c r="H23" s="59"/>
      <c r="I23" s="59"/>
      <c r="J23" s="59"/>
      <c r="K23" s="59"/>
      <c r="L23" s="59"/>
      <c r="M23" s="59"/>
      <c r="N23" s="59"/>
      <c r="O23" s="59"/>
      <c r="P23" s="59"/>
      <c r="Q23" s="59"/>
      <c r="R23" s="59"/>
    </row>
    <row r="24" spans="1:18" ht="15.75">
      <c r="A24" s="59"/>
      <c r="B24" s="59"/>
      <c r="C24" s="59"/>
      <c r="D24" s="59"/>
      <c r="E24" s="59"/>
      <c r="F24" s="59"/>
      <c r="G24" s="59"/>
      <c r="H24" s="59"/>
      <c r="I24" s="59"/>
      <c r="J24" s="59"/>
      <c r="K24" s="59"/>
      <c r="L24" s="59"/>
      <c r="M24" s="59"/>
      <c r="N24" s="59"/>
      <c r="O24" s="59"/>
      <c r="P24" s="59"/>
      <c r="Q24" s="59"/>
      <c r="R24" s="59"/>
    </row>
    <row r="25" spans="1:18" ht="15.75">
      <c r="A25" s="59"/>
      <c r="B25" s="59" t="s">
        <v>210</v>
      </c>
      <c r="C25" s="59"/>
      <c r="D25" s="59"/>
      <c r="E25" s="59"/>
      <c r="F25" s="59"/>
      <c r="G25" s="59"/>
      <c r="H25" s="59"/>
      <c r="I25" s="59"/>
      <c r="J25" s="59"/>
      <c r="K25" s="59"/>
      <c r="L25" s="59"/>
      <c r="M25" s="59"/>
      <c r="N25" s="59"/>
      <c r="O25" s="59"/>
      <c r="P25" s="59"/>
      <c r="Q25" s="59"/>
      <c r="R25" s="59"/>
    </row>
    <row r="26" spans="1:18" ht="15.75">
      <c r="A26" s="59"/>
      <c r="B26" s="59"/>
      <c r="C26" s="59"/>
      <c r="D26" s="59"/>
      <c r="E26" s="59"/>
      <c r="F26" s="59"/>
      <c r="G26" s="59"/>
      <c r="H26" s="59"/>
      <c r="I26" s="59"/>
      <c r="J26" s="59"/>
      <c r="K26" s="59"/>
      <c r="L26" s="59"/>
      <c r="M26" s="59"/>
      <c r="N26" s="59"/>
      <c r="O26" s="59"/>
      <c r="P26" s="59"/>
      <c r="Q26" s="59"/>
      <c r="R26" s="59"/>
    </row>
    <row r="27" spans="1:18" ht="15.75">
      <c r="A27" s="59"/>
      <c r="B27" s="59" t="s">
        <v>211</v>
      </c>
      <c r="C27" s="59"/>
      <c r="D27" s="59"/>
      <c r="E27" s="59"/>
      <c r="F27" s="59"/>
      <c r="G27" s="59"/>
      <c r="H27" s="59" t="s">
        <v>213</v>
      </c>
      <c r="I27" s="59"/>
      <c r="J27" s="59"/>
      <c r="K27" s="59"/>
      <c r="L27" s="59"/>
      <c r="M27" s="59"/>
      <c r="N27" s="59"/>
      <c r="O27" s="59"/>
      <c r="P27" s="59"/>
      <c r="Q27" s="59"/>
      <c r="R27" s="59"/>
    </row>
    <row r="28" spans="1:18" ht="15.75">
      <c r="A28" s="59"/>
      <c r="B28" s="59"/>
      <c r="C28" s="59"/>
      <c r="D28" s="59"/>
      <c r="E28" s="59"/>
      <c r="F28" s="59"/>
      <c r="G28" s="59"/>
      <c r="H28" s="59"/>
      <c r="I28" s="59"/>
      <c r="J28" s="59"/>
      <c r="K28" s="59"/>
      <c r="L28" s="59"/>
      <c r="M28" s="59"/>
      <c r="N28" s="59"/>
      <c r="O28" s="59"/>
      <c r="P28" s="59"/>
      <c r="Q28" s="59"/>
      <c r="R28" s="59"/>
    </row>
    <row r="29" spans="1:18" ht="15.75">
      <c r="A29" s="59"/>
      <c r="B29" s="59" t="s">
        <v>212</v>
      </c>
      <c r="C29" s="59"/>
      <c r="D29" s="59"/>
      <c r="E29" s="59"/>
      <c r="F29" s="59"/>
      <c r="G29" s="59"/>
      <c r="H29" s="59"/>
      <c r="I29" s="59"/>
      <c r="J29" s="59"/>
      <c r="K29" s="59"/>
      <c r="L29" s="59"/>
      <c r="M29" s="59"/>
      <c r="N29" s="59"/>
      <c r="O29" s="59"/>
      <c r="P29" s="59"/>
      <c r="Q29" s="59"/>
      <c r="R29" s="59"/>
    </row>
    <row r="30" spans="1:18" ht="15.75">
      <c r="A30" s="59"/>
      <c r="B30" s="59"/>
      <c r="C30" s="59"/>
      <c r="D30" s="59"/>
      <c r="E30" s="59"/>
      <c r="F30" s="59"/>
      <c r="G30" s="59"/>
      <c r="H30" s="59"/>
      <c r="I30" s="59"/>
      <c r="J30" s="59"/>
      <c r="K30" s="59"/>
      <c r="L30" s="59"/>
      <c r="M30" s="59"/>
      <c r="N30" s="59"/>
      <c r="O30" s="59"/>
      <c r="P30" s="59"/>
      <c r="Q30" s="59"/>
      <c r="R30" s="59"/>
    </row>
    <row r="31" spans="1:18" ht="15.75">
      <c r="A31" s="59"/>
      <c r="B31" s="59"/>
      <c r="C31" s="59"/>
      <c r="D31" s="59"/>
      <c r="E31" s="59"/>
      <c r="F31" s="59" t="s">
        <v>242</v>
      </c>
      <c r="G31" s="59"/>
      <c r="H31" s="59"/>
      <c r="I31" s="59"/>
      <c r="J31" s="59"/>
      <c r="K31" s="59"/>
      <c r="L31" s="59"/>
      <c r="M31" s="59"/>
      <c r="N31" s="59"/>
      <c r="O31" s="59"/>
      <c r="P31" s="59"/>
      <c r="Q31" s="59"/>
      <c r="R31" s="59"/>
    </row>
    <row r="32" spans="1:18" ht="15.75">
      <c r="A32" s="59"/>
      <c r="B32" s="59"/>
      <c r="C32" s="59"/>
      <c r="D32" s="59"/>
      <c r="E32" s="59"/>
      <c r="F32" s="59"/>
      <c r="G32" s="59"/>
      <c r="H32" s="59"/>
      <c r="I32" s="59"/>
      <c r="J32" s="59"/>
      <c r="K32" s="59"/>
      <c r="L32" s="59"/>
      <c r="M32" s="59"/>
      <c r="N32" s="59"/>
      <c r="O32" s="59"/>
      <c r="P32" s="59"/>
      <c r="Q32" s="59"/>
      <c r="R32" s="59"/>
    </row>
    <row r="33" spans="1:18" ht="15.75">
      <c r="A33" s="59"/>
      <c r="B33" s="59"/>
      <c r="C33" s="59"/>
      <c r="D33" s="59"/>
      <c r="E33" s="59"/>
      <c r="F33" s="59"/>
      <c r="G33" s="59"/>
      <c r="H33" s="59"/>
      <c r="I33" s="59"/>
      <c r="J33" s="59"/>
      <c r="K33" s="59"/>
      <c r="L33" s="59"/>
      <c r="M33" s="59"/>
      <c r="N33" s="59"/>
      <c r="O33" s="59"/>
      <c r="P33" s="59"/>
      <c r="Q33" s="59"/>
      <c r="R33" s="59"/>
    </row>
    <row r="34" spans="1:18" ht="15.75">
      <c r="A34" s="59"/>
      <c r="B34" s="59"/>
      <c r="C34" s="59"/>
      <c r="D34" s="59"/>
      <c r="E34" s="59"/>
      <c r="F34" s="59"/>
      <c r="G34" s="59"/>
      <c r="H34" s="59"/>
      <c r="I34" s="59"/>
      <c r="J34" s="59"/>
      <c r="K34" s="59"/>
      <c r="L34" s="59"/>
      <c r="M34" s="59"/>
      <c r="N34" s="59"/>
      <c r="O34" s="59"/>
      <c r="P34" s="59"/>
      <c r="Q34" s="59"/>
      <c r="R34" s="59"/>
    </row>
    <row r="35" spans="1:18" ht="15.75">
      <c r="A35" s="59"/>
      <c r="B35" s="59"/>
      <c r="C35" s="59"/>
      <c r="D35" s="59"/>
      <c r="E35" s="59"/>
      <c r="F35" s="59"/>
      <c r="G35" s="59"/>
      <c r="H35" s="59"/>
      <c r="I35" s="59"/>
      <c r="J35" s="59"/>
      <c r="K35" s="59"/>
      <c r="L35" s="59"/>
      <c r="M35" s="59"/>
      <c r="N35" s="59"/>
      <c r="O35" s="59"/>
      <c r="P35" s="59"/>
      <c r="Q35" s="59"/>
      <c r="R35" s="59"/>
    </row>
    <row r="36" spans="1:18" ht="15.75">
      <c r="A36" s="59"/>
      <c r="B36" s="59"/>
      <c r="C36" s="59"/>
      <c r="D36" s="59"/>
      <c r="E36" s="59"/>
      <c r="F36" s="59"/>
      <c r="G36" s="59"/>
      <c r="H36" s="59"/>
      <c r="I36" s="59"/>
      <c r="J36" s="59"/>
      <c r="K36" s="59"/>
      <c r="L36" s="59"/>
      <c r="M36" s="59"/>
      <c r="N36" s="59"/>
      <c r="O36" s="59"/>
      <c r="P36" s="59"/>
      <c r="Q36" s="59"/>
      <c r="R36" s="59"/>
    </row>
    <row r="37" spans="1:18" ht="15.75">
      <c r="A37" s="59"/>
      <c r="B37" s="59"/>
      <c r="C37" s="59"/>
      <c r="D37" s="59"/>
      <c r="E37" s="59"/>
      <c r="F37" s="59"/>
      <c r="G37" s="59"/>
      <c r="H37" s="59"/>
      <c r="I37" s="59"/>
      <c r="J37" s="59"/>
      <c r="K37" s="59"/>
      <c r="L37" s="59"/>
      <c r="M37" s="59"/>
      <c r="N37" s="59"/>
      <c r="O37" s="59"/>
      <c r="P37" s="59"/>
      <c r="Q37" s="59"/>
      <c r="R37" s="59"/>
    </row>
  </sheetData>
  <sheetProtection password="B197"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B2:AP37"/>
  <sheetViews>
    <sheetView showGridLines="0" tabSelected="1" workbookViewId="0" topLeftCell="A1">
      <selection activeCell="B20" sqref="B20:M20"/>
    </sheetView>
  </sheetViews>
  <sheetFormatPr defaultColWidth="8.796875" defaultRowHeight="24.75" customHeight="1"/>
  <cols>
    <col min="1" max="1" width="1.203125" style="0" customWidth="1"/>
    <col min="2" max="2" width="11.69921875" style="0" customWidth="1"/>
    <col min="3" max="3" width="1.390625" style="0" customWidth="1"/>
    <col min="4" max="4" width="6.3984375" style="0" customWidth="1"/>
    <col min="5" max="5" width="18.19921875" style="0" customWidth="1"/>
    <col min="6" max="9" width="6.69921875" style="0" customWidth="1"/>
    <col min="10" max="10" width="12.59765625" style="0" customWidth="1"/>
    <col min="11" max="11" width="9.8984375" style="0" customWidth="1"/>
    <col min="12" max="12" width="0.4921875" style="0" customWidth="1"/>
    <col min="13" max="13" width="5.09765625" style="0" customWidth="1"/>
    <col min="14" max="14" width="2.59765625" style="0" customWidth="1"/>
  </cols>
  <sheetData>
    <row r="1" ht="10.5" customHeight="1" thickBot="1"/>
    <row r="2" spans="2:16" ht="24.75" customHeight="1" thickBot="1">
      <c r="B2" s="465" t="s">
        <v>252</v>
      </c>
      <c r="C2" s="466"/>
      <c r="D2" s="486" t="s">
        <v>51</v>
      </c>
      <c r="E2" s="487" t="s">
        <v>257</v>
      </c>
      <c r="F2" s="487" t="s">
        <v>1</v>
      </c>
      <c r="G2" s="487" t="s">
        <v>2</v>
      </c>
      <c r="H2" s="487" t="s">
        <v>3</v>
      </c>
      <c r="I2" s="487" t="s">
        <v>4</v>
      </c>
      <c r="J2" s="488" t="s">
        <v>438</v>
      </c>
      <c r="K2" s="120" t="s">
        <v>255</v>
      </c>
      <c r="M2" s="484" t="s">
        <v>441</v>
      </c>
      <c r="O2" s="115" t="s">
        <v>258</v>
      </c>
      <c r="P2" s="116"/>
    </row>
    <row r="3" spans="2:15" ht="24.75" customHeight="1">
      <c r="B3" s="124">
        <f>LARGE('スコア付き集計表'!$A$8:$A$49,1)</f>
        <v>0.889146</v>
      </c>
      <c r="C3" s="466"/>
      <c r="D3" s="790">
        <f>VLOOKUP(B3,'スコア付き集計表'!$A$8:$AR$55,44,FALSE)</f>
        <v>1</v>
      </c>
      <c r="E3" s="494" t="str">
        <f>VLOOKUP(B3,'スコア付き集計表'!$A$8:$D$55,4,FALSE)</f>
        <v>サンデーズＪｒＡ</v>
      </c>
      <c r="F3" s="474">
        <f>VLOOKUP(B3,'スコア付き集計表'!$A$8:$AK$55,37,FALSE)</f>
        <v>18</v>
      </c>
      <c r="G3" s="474">
        <f>VLOOKUP(B3,'スコア付き集計表'!$A$8:$AL$55,38,FALSE)</f>
        <v>16</v>
      </c>
      <c r="H3" s="474">
        <f>VLOOKUP(B3,'スコア付き集計表'!$A$8:$AM$55,39,FALSE)</f>
        <v>2</v>
      </c>
      <c r="I3" s="474">
        <f>VLOOKUP(B3,'スコア付き集計表'!$A$8:$AN$55,40,FALSE)</f>
        <v>0</v>
      </c>
      <c r="J3" s="475">
        <f>VLOOKUP(B3,'スコア付き集計表'!$A$8:$AO$55,41,FALSE)</f>
        <v>0.889</v>
      </c>
      <c r="K3" s="118" t="s">
        <v>259</v>
      </c>
      <c r="M3" s="485">
        <f>18-F3</f>
        <v>0</v>
      </c>
      <c r="O3" s="460">
        <f aca="true" t="shared" si="0" ref="O3:O9">G3-H3</f>
        <v>14</v>
      </c>
    </row>
    <row r="4" spans="2:15" ht="24.75" customHeight="1">
      <c r="B4" s="124">
        <f>LARGE('スコア付き集計表'!$A$8:$A$49,2)</f>
        <v>0.824117</v>
      </c>
      <c r="C4" s="466"/>
      <c r="D4" s="493">
        <f>VLOOKUP(B4,'スコア付き集計表'!$A$8:$AR$55,44,FALSE)</f>
        <v>2</v>
      </c>
      <c r="E4" s="495" t="str">
        <f>VLOOKUP(B4,'スコア付き集計表'!$A$8:$D$55,4,FALSE)</f>
        <v>ファイターズＡ</v>
      </c>
      <c r="F4" s="117">
        <f>VLOOKUP(B4,'スコア付き集計表'!$A$8:$AK$55,37,FALSE)</f>
        <v>18</v>
      </c>
      <c r="G4" s="117">
        <f>VLOOKUP(B4,'スコア付き集計表'!$A$8:$AL$55,38,FALSE)</f>
        <v>14</v>
      </c>
      <c r="H4" s="117">
        <f>VLOOKUP(B4,'スコア付き集計表'!$A$8:$AM$55,39,FALSE)</f>
        <v>3</v>
      </c>
      <c r="I4" s="117">
        <f>VLOOKUP(B4,'スコア付き集計表'!$A$8:$AN$55,40,FALSE)</f>
        <v>1</v>
      </c>
      <c r="J4" s="471">
        <f>VLOOKUP(B4,'スコア付き集計表'!$A$8:$AO$55,41,FALSE)</f>
        <v>0.824</v>
      </c>
      <c r="K4" s="119">
        <f aca="true" t="shared" si="1" ref="K4:K9">(O3-O4)/2</f>
        <v>1.5</v>
      </c>
      <c r="M4" s="485">
        <f aca="true" t="shared" si="2" ref="M4:M9">18-F4</f>
        <v>0</v>
      </c>
      <c r="O4" s="460">
        <f t="shared" si="0"/>
        <v>11</v>
      </c>
    </row>
    <row r="5" spans="2:15" ht="24.75" customHeight="1">
      <c r="B5" s="124">
        <f>LARGE('スコア付き集計表'!$A$8:$A$49,3)</f>
        <v>0.667065</v>
      </c>
      <c r="C5" s="466"/>
      <c r="D5" s="493">
        <f>VLOOKUP(B5,'スコア付き集計表'!$A$8:$AR$55,44,FALSE)</f>
        <v>3</v>
      </c>
      <c r="E5" s="495" t="str">
        <f>VLOOKUP(B5,'スコア付き集計表'!$A$8:$D$55,4,FALSE)</f>
        <v>ファイターズＢ</v>
      </c>
      <c r="F5" s="117">
        <f>VLOOKUP(B5,'スコア付き集計表'!$A$8:$AK$55,37,FALSE)</f>
        <v>18</v>
      </c>
      <c r="G5" s="117">
        <f>VLOOKUP(B5,'スコア付き集計表'!$A$8:$AL$55,38,FALSE)</f>
        <v>12</v>
      </c>
      <c r="H5" s="117">
        <f>VLOOKUP(B5,'スコア付き集計表'!$A$8:$AM$55,39,FALSE)</f>
        <v>6</v>
      </c>
      <c r="I5" s="117">
        <f>VLOOKUP(B5,'スコア付き集計表'!$A$8:$AN$55,40,FALSE)</f>
        <v>0</v>
      </c>
      <c r="J5" s="471">
        <f>VLOOKUP(B5,'スコア付き集計表'!$A$8:$AO$55,41,FALSE)</f>
        <v>0.667</v>
      </c>
      <c r="K5" s="119">
        <f t="shared" si="1"/>
        <v>2.5</v>
      </c>
      <c r="M5" s="485">
        <f t="shared" si="2"/>
        <v>0</v>
      </c>
      <c r="O5" s="460">
        <f t="shared" si="0"/>
        <v>6</v>
      </c>
    </row>
    <row r="6" spans="2:15" ht="24.75" customHeight="1">
      <c r="B6" s="124">
        <f>LARGE('スコア付き集計表'!$A$8:$A$49,4)</f>
        <v>0.500004</v>
      </c>
      <c r="C6" s="466"/>
      <c r="D6" s="493">
        <f>VLOOKUP(B6,'スコア付き集計表'!$A$8:$AR$55,44,FALSE)</f>
        <v>4</v>
      </c>
      <c r="E6" s="495" t="str">
        <f>VLOOKUP(B6,'スコア付き集計表'!$A$8:$D$55,4,FALSE)</f>
        <v>クッパーズＪｒ</v>
      </c>
      <c r="F6" s="117">
        <f>VLOOKUP(B6,'スコア付き集計表'!$A$8:$AK$55,37,FALSE)</f>
        <v>18</v>
      </c>
      <c r="G6" s="117">
        <f>VLOOKUP(B6,'スコア付き集計表'!$A$8:$AL$55,38,FALSE)</f>
        <v>8</v>
      </c>
      <c r="H6" s="117">
        <f>VLOOKUP(B6,'スコア付き集計表'!$A$8:$AM$55,39,FALSE)</f>
        <v>8</v>
      </c>
      <c r="I6" s="117">
        <f>VLOOKUP(B6,'スコア付き集計表'!$A$8:$AN$55,40,FALSE)</f>
        <v>2</v>
      </c>
      <c r="J6" s="471">
        <f>VLOOKUP(B6,'スコア付き集計表'!$A$8:$AO$55,41,FALSE)</f>
        <v>0.5</v>
      </c>
      <c r="K6" s="119">
        <f t="shared" si="1"/>
        <v>3</v>
      </c>
      <c r="M6" s="485">
        <f t="shared" si="2"/>
        <v>0</v>
      </c>
      <c r="O6" s="460">
        <f t="shared" si="0"/>
        <v>0</v>
      </c>
    </row>
    <row r="7" spans="2:15" ht="24.75" customHeight="1">
      <c r="B7" s="124">
        <f>LARGE('スコア付き集計表'!$A$8:$A$49,5)</f>
        <v>0.47099299999999994</v>
      </c>
      <c r="C7" s="466"/>
      <c r="D7" s="493">
        <f>VLOOKUP(B7,'スコア付き集計表'!$A$8:$AR$55,44,FALSE)</f>
        <v>5</v>
      </c>
      <c r="E7" s="495" t="str">
        <f>VLOOKUP(B7,'スコア付き集計表'!$A$8:$D$55,4,FALSE)</f>
        <v>パイレーツ</v>
      </c>
      <c r="F7" s="117">
        <f>VLOOKUP(B7,'スコア付き集計表'!$A$8:$AK$55,37,FALSE)</f>
        <v>18</v>
      </c>
      <c r="G7" s="117">
        <f>VLOOKUP(B7,'スコア付き集計表'!$A$8:$AL$55,38,FALSE)</f>
        <v>8</v>
      </c>
      <c r="H7" s="117">
        <f>VLOOKUP(B7,'スコア付き集計表'!$A$8:$AM$55,39,FALSE)</f>
        <v>9</v>
      </c>
      <c r="I7" s="117">
        <f>VLOOKUP(B7,'スコア付き集計表'!$A$8:$AN$55,40,FALSE)</f>
        <v>1</v>
      </c>
      <c r="J7" s="471">
        <f>VLOOKUP(B7,'スコア付き集計表'!$A$8:$AO$55,41,FALSE)</f>
        <v>0.471</v>
      </c>
      <c r="K7" s="119">
        <f t="shared" si="1"/>
        <v>0.5</v>
      </c>
      <c r="M7" s="485">
        <f t="shared" si="2"/>
        <v>0</v>
      </c>
      <c r="O7" s="460">
        <f t="shared" si="0"/>
        <v>-1</v>
      </c>
    </row>
    <row r="8" spans="2:15" ht="24.75" customHeight="1">
      <c r="B8" s="124">
        <f>LARGE('スコア付き集計表'!$A$8:$A$49,6)</f>
        <v>0.110862</v>
      </c>
      <c r="C8" s="466"/>
      <c r="D8" s="493">
        <f>VLOOKUP(B8,'スコア付き集計表'!$A$8:$AR$55,44,FALSE)</f>
        <v>6</v>
      </c>
      <c r="E8" s="495" t="str">
        <f>VLOOKUP(B8,'スコア付き集計表'!$A$8:$D$55,4,FALSE)</f>
        <v>ベアーズ</v>
      </c>
      <c r="F8" s="117">
        <f>VLOOKUP(B8,'スコア付き集計表'!$A$8:$AK$55,37,FALSE)</f>
        <v>18</v>
      </c>
      <c r="G8" s="117">
        <f>VLOOKUP(B8,'スコア付き集計表'!$A$8:$AL$55,38,FALSE)</f>
        <v>2</v>
      </c>
      <c r="H8" s="117">
        <f>VLOOKUP(B8,'スコア付き集計表'!$A$8:$AM$55,39,FALSE)</f>
        <v>16</v>
      </c>
      <c r="I8" s="117">
        <f>VLOOKUP(B8,'スコア付き集計表'!$A$8:$AN$55,40,FALSE)</f>
        <v>0</v>
      </c>
      <c r="J8" s="471">
        <f>VLOOKUP(B8,'スコア付き集計表'!$A$8:$AO$55,41,FALSE)</f>
        <v>0.111</v>
      </c>
      <c r="K8" s="119">
        <f t="shared" si="1"/>
        <v>6.5</v>
      </c>
      <c r="M8" s="485">
        <f t="shared" si="2"/>
        <v>0</v>
      </c>
      <c r="O8" s="460">
        <f t="shared" si="0"/>
        <v>-14</v>
      </c>
    </row>
    <row r="9" spans="2:15" ht="24.75" customHeight="1" thickBot="1">
      <c r="B9" s="124">
        <f>LARGE('スコア付き集計表'!$A$8:$A$49,7)</f>
        <v>0.055841</v>
      </c>
      <c r="C9" s="466"/>
      <c r="D9" s="791">
        <f>VLOOKUP(B9,'スコア付き集計表'!$A$8:$AR$55,44,FALSE)</f>
        <v>7</v>
      </c>
      <c r="E9" s="496" t="str">
        <f>VLOOKUP(B9,'スコア付き集計表'!$A$8:$D$55,4,FALSE)</f>
        <v>サンデーズＪｒＢ</v>
      </c>
      <c r="F9" s="472">
        <f>VLOOKUP(B9,'スコア付き集計表'!$A$8:$AK$55,37,FALSE)</f>
        <v>18</v>
      </c>
      <c r="G9" s="472">
        <f>VLOOKUP(B9,'スコア付き集計表'!$A$8:$AL$55,38,FALSE)</f>
        <v>1</v>
      </c>
      <c r="H9" s="472">
        <f>VLOOKUP(B9,'スコア付き集計表'!$A$8:$AM$55,39,FALSE)</f>
        <v>17</v>
      </c>
      <c r="I9" s="472">
        <f>VLOOKUP(B9,'スコア付き集計表'!$A$8:$AN$55,40,FALSE)</f>
        <v>0</v>
      </c>
      <c r="J9" s="473">
        <f>VLOOKUP(B9,'スコア付き集計表'!$A$8:$AO$55,41,FALSE)</f>
        <v>0.056</v>
      </c>
      <c r="K9" s="483">
        <f t="shared" si="1"/>
        <v>1</v>
      </c>
      <c r="M9" s="485">
        <f t="shared" si="2"/>
        <v>0</v>
      </c>
      <c r="O9" s="460">
        <f t="shared" si="0"/>
        <v>-16</v>
      </c>
    </row>
    <row r="10" spans="2:13" ht="24.75" customHeight="1" hidden="1" thickBot="1">
      <c r="B10" s="457" t="e">
        <f>LARGE('スコア付き集計表'!$A$8:$A$55,8)</f>
        <v>#DIV/0!</v>
      </c>
      <c r="C10" s="458"/>
      <c r="D10" s="467" t="e">
        <f>VLOOKUP(B10,'スコア付き集計表'!$A$8:$AR$55,44,FALSE)</f>
        <v>#DIV/0!</v>
      </c>
      <c r="E10" s="468" t="e">
        <f>VLOOKUP(B10,'スコア付き集計表'!$A$8:$D$55,4,FALSE)</f>
        <v>#DIV/0!</v>
      </c>
      <c r="F10" s="469" t="e">
        <f>VLOOKUP(B10,'スコア付き集計表'!$A$8:$AK$55,37,FALSE)</f>
        <v>#DIV/0!</v>
      </c>
      <c r="G10" s="469" t="e">
        <f>VLOOKUP(B10,'スコア付き集計表'!$A$8:$AL$55,38,FALSE)</f>
        <v>#DIV/0!</v>
      </c>
      <c r="H10" s="469" t="e">
        <f>VLOOKUP(B10,'スコア付き集計表'!$A$8:$AM$55,39,FALSE)</f>
        <v>#DIV/0!</v>
      </c>
      <c r="I10" s="469" t="e">
        <f>VLOOKUP(B10,'スコア付き集計表'!$A$8:$AN$55,40,FALSE)</f>
        <v>#DIV/0!</v>
      </c>
      <c r="J10" s="470" t="e">
        <f>VLOOKUP(B10,'スコア付き集計表'!$A$8:$AO$55,41,FALSE)</f>
        <v>#DIV/0!</v>
      </c>
      <c r="K10" s="482" t="e">
        <f>(O7-M10)/2</f>
        <v>#DIV/0!</v>
      </c>
      <c r="L10" s="373"/>
      <c r="M10" s="459" t="e">
        <f>G10-H10</f>
        <v>#DIV/0!</v>
      </c>
    </row>
    <row r="11" ht="18" customHeight="1"/>
    <row r="12" spans="2:42" s="2" customFormat="1" ht="19.5" customHeight="1">
      <c r="B12" s="123" t="s">
        <v>263</v>
      </c>
      <c r="C12" s="17"/>
      <c r="D12" s="43"/>
      <c r="E12" s="55"/>
      <c r="F12" s="43"/>
      <c r="G12" s="43"/>
      <c r="H12" s="43"/>
      <c r="I12" s="43"/>
      <c r="J12" s="43"/>
      <c r="K12" s="43"/>
      <c r="L12" s="43"/>
      <c r="M12" s="43"/>
      <c r="N12" s="43"/>
      <c r="O12" s="43"/>
      <c r="P12" s="43"/>
      <c r="Q12" s="43"/>
      <c r="R12" s="43"/>
      <c r="S12" s="43"/>
      <c r="T12" s="43"/>
      <c r="U12" s="43"/>
      <c r="V12" s="43"/>
      <c r="W12" s="43"/>
      <c r="X12" s="43"/>
      <c r="Y12" s="43"/>
      <c r="Z12" s="43"/>
      <c r="AA12" s="43"/>
      <c r="AB12" s="43"/>
      <c r="AC12" s="43"/>
      <c r="AD12" s="56"/>
      <c r="AE12" s="56"/>
      <c r="AF12" s="56"/>
      <c r="AG12" s="56"/>
      <c r="AH12" s="57"/>
      <c r="AI12" s="56"/>
      <c r="AJ12" s="56"/>
      <c r="AK12" s="54"/>
      <c r="AL12" s="54"/>
      <c r="AN12" s="46"/>
      <c r="AO12" s="46"/>
      <c r="AP12" s="46"/>
    </row>
    <row r="13" spans="2:3" s="2" customFormat="1" ht="19.5" customHeight="1">
      <c r="B13" s="121" t="s">
        <v>0</v>
      </c>
      <c r="C13" s="2" t="s">
        <v>264</v>
      </c>
    </row>
    <row r="14" spans="2:41" s="3" customFormat="1" ht="19.5" customHeight="1">
      <c r="B14" s="121" t="s">
        <v>265</v>
      </c>
      <c r="C14" s="2" t="s">
        <v>266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2:41" s="3" customFormat="1" ht="19.5" customHeight="1">
      <c r="B15" s="121" t="s">
        <v>267</v>
      </c>
      <c r="C15" s="602" t="s">
        <v>439</v>
      </c>
      <c r="D15" s="602"/>
      <c r="E15" s="602"/>
      <c r="F15" s="602"/>
      <c r="G15" s="602"/>
      <c r="H15" s="602"/>
      <c r="I15" s="602"/>
      <c r="J15" s="602"/>
      <c r="K15" s="602"/>
      <c r="L15" s="602"/>
      <c r="M15" s="602"/>
      <c r="N15" s="602"/>
      <c r="O15" s="60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ht="19.5" customHeight="1"/>
    <row r="17" spans="2:4" ht="19.5" customHeight="1">
      <c r="B17" s="122" t="s">
        <v>262</v>
      </c>
      <c r="D17" s="122"/>
    </row>
    <row r="18" spans="2:13" ht="19.5" customHeight="1">
      <c r="B18" s="601" t="s">
        <v>274</v>
      </c>
      <c r="C18" s="601"/>
      <c r="D18" s="601"/>
      <c r="E18" s="601"/>
      <c r="F18" s="601"/>
      <c r="G18" s="601"/>
      <c r="H18" s="601"/>
      <c r="I18" s="601"/>
      <c r="J18" s="601"/>
      <c r="K18" s="601"/>
      <c r="L18" s="601"/>
      <c r="M18" s="601"/>
    </row>
    <row r="19" spans="2:13" ht="19.5" customHeight="1">
      <c r="B19" s="601" t="s">
        <v>269</v>
      </c>
      <c r="C19" s="601"/>
      <c r="D19" s="601"/>
      <c r="E19" s="601"/>
      <c r="F19" s="601"/>
      <c r="G19" s="601"/>
      <c r="H19" s="601"/>
      <c r="I19" s="601"/>
      <c r="J19" s="601"/>
      <c r="K19" s="601"/>
      <c r="L19" s="601"/>
      <c r="M19" s="601"/>
    </row>
    <row r="20" spans="2:13" ht="19.5" customHeight="1">
      <c r="B20" s="601" t="s">
        <v>268</v>
      </c>
      <c r="C20" s="601"/>
      <c r="D20" s="601"/>
      <c r="E20" s="601"/>
      <c r="F20" s="601"/>
      <c r="G20" s="601"/>
      <c r="H20" s="601"/>
      <c r="I20" s="601"/>
      <c r="J20" s="601"/>
      <c r="K20" s="601"/>
      <c r="L20" s="601"/>
      <c r="M20" s="601"/>
    </row>
    <row r="21" spans="2:13" ht="19.5" customHeight="1">
      <c r="B21" s="601" t="s">
        <v>270</v>
      </c>
      <c r="C21" s="601"/>
      <c r="D21" s="601"/>
      <c r="E21" s="601"/>
      <c r="F21" s="601"/>
      <c r="G21" s="601"/>
      <c r="H21" s="601"/>
      <c r="I21" s="601"/>
      <c r="J21" s="601"/>
      <c r="K21" s="601"/>
      <c r="L21" s="601"/>
      <c r="M21" s="601"/>
    </row>
    <row r="22" spans="2:13" ht="19.5" customHeight="1">
      <c r="B22" s="601" t="s">
        <v>271</v>
      </c>
      <c r="C22" s="601"/>
      <c r="D22" s="601"/>
      <c r="E22" s="601"/>
      <c r="F22" s="601"/>
      <c r="G22" s="601"/>
      <c r="H22" s="601"/>
      <c r="I22" s="601"/>
      <c r="J22" s="601"/>
      <c r="K22" s="601"/>
      <c r="L22" s="601"/>
      <c r="M22" s="601"/>
    </row>
    <row r="23" spans="2:13" ht="19.5" customHeight="1">
      <c r="B23" s="603" t="s">
        <v>272</v>
      </c>
      <c r="C23" s="603"/>
      <c r="D23" s="603"/>
      <c r="E23" s="603"/>
      <c r="F23" s="603"/>
      <c r="G23" s="603"/>
      <c r="H23" s="603"/>
      <c r="I23" s="603"/>
      <c r="J23" s="603"/>
      <c r="K23" s="603"/>
      <c r="L23" s="603"/>
      <c r="M23" s="603"/>
    </row>
    <row r="24" spans="2:13" ht="24.75" customHeight="1">
      <c r="B24" s="603" t="s">
        <v>273</v>
      </c>
      <c r="C24" s="603"/>
      <c r="D24" s="603"/>
      <c r="E24" s="603"/>
      <c r="F24" s="603"/>
      <c r="G24" s="603"/>
      <c r="H24" s="603"/>
      <c r="I24" s="603"/>
      <c r="J24" s="603"/>
      <c r="K24" s="603"/>
      <c r="L24" s="603"/>
      <c r="M24" s="603"/>
    </row>
    <row r="25" spans="2:13" ht="24.75" customHeight="1">
      <c r="B25" s="601"/>
      <c r="C25" s="601"/>
      <c r="D25" s="601"/>
      <c r="E25" s="601"/>
      <c r="F25" s="601"/>
      <c r="G25" s="601"/>
      <c r="H25" s="601"/>
      <c r="I25" s="601"/>
      <c r="J25" s="601"/>
      <c r="K25" s="601"/>
      <c r="L25" s="601"/>
      <c r="M25" s="601"/>
    </row>
    <row r="26" spans="2:13" ht="24.75" customHeight="1">
      <c r="B26" s="601"/>
      <c r="C26" s="601"/>
      <c r="D26" s="601"/>
      <c r="E26" s="601"/>
      <c r="F26" s="601"/>
      <c r="G26" s="601"/>
      <c r="H26" s="601"/>
      <c r="I26" s="601"/>
      <c r="J26" s="601"/>
      <c r="K26" s="601"/>
      <c r="L26" s="601"/>
      <c r="M26" s="601"/>
    </row>
    <row r="27" spans="2:13" ht="24.75" customHeight="1">
      <c r="B27" s="601"/>
      <c r="C27" s="601"/>
      <c r="D27" s="601"/>
      <c r="E27" s="601"/>
      <c r="F27" s="601"/>
      <c r="G27" s="601"/>
      <c r="H27" s="601"/>
      <c r="I27" s="601"/>
      <c r="J27" s="601"/>
      <c r="K27" s="601"/>
      <c r="L27" s="601"/>
      <c r="M27" s="601"/>
    </row>
    <row r="28" spans="2:13" ht="24.75" customHeight="1">
      <c r="B28" s="601"/>
      <c r="C28" s="601"/>
      <c r="D28" s="601"/>
      <c r="E28" s="601"/>
      <c r="F28" s="601"/>
      <c r="G28" s="601"/>
      <c r="H28" s="601"/>
      <c r="I28" s="601"/>
      <c r="J28" s="601"/>
      <c r="K28" s="601"/>
      <c r="L28" s="601"/>
      <c r="M28" s="601"/>
    </row>
    <row r="37" ht="24.75" customHeight="1">
      <c r="C37" t="s">
        <v>259</v>
      </c>
    </row>
  </sheetData>
  <sheetProtection/>
  <mergeCells count="12">
    <mergeCell ref="B22:M22"/>
    <mergeCell ref="B27:M27"/>
    <mergeCell ref="B28:M28"/>
    <mergeCell ref="B19:M19"/>
    <mergeCell ref="B23:M23"/>
    <mergeCell ref="B24:M24"/>
    <mergeCell ref="B25:M25"/>
    <mergeCell ref="B26:M26"/>
    <mergeCell ref="B18:M18"/>
    <mergeCell ref="B20:M20"/>
    <mergeCell ref="B21:M21"/>
    <mergeCell ref="C15:O15"/>
  </mergeCells>
  <conditionalFormatting sqref="AD12">
    <cfRule type="cellIs" priority="1" dxfId="0" operator="greaterThan" stopIfTrue="1">
      <formula>30</formula>
    </cfRule>
  </conditionalFormatting>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5"/>
  </sheetPr>
  <dimension ref="A2:AX73"/>
  <sheetViews>
    <sheetView showGridLines="0" zoomScale="69" zoomScaleNormal="69" workbookViewId="0" topLeftCell="A1">
      <selection activeCell="N65" sqref="N65"/>
    </sheetView>
  </sheetViews>
  <sheetFormatPr defaultColWidth="8.796875" defaultRowHeight="24.75" customHeight="1"/>
  <cols>
    <col min="1" max="1" width="12.69921875" style="2" customWidth="1"/>
    <col min="2" max="2" width="1.4921875" style="2" customWidth="1"/>
    <col min="3" max="3" width="3" style="3" customWidth="1"/>
    <col min="4" max="4" width="17.69921875" style="2" customWidth="1"/>
    <col min="5" max="5" width="3.59765625" style="2" customWidth="1"/>
    <col min="6" max="7" width="2.59765625" style="2" customWidth="1"/>
    <col min="8" max="8" width="3.5" style="2" customWidth="1"/>
    <col min="9" max="9" width="3.59765625" style="2" customWidth="1"/>
    <col min="10" max="10" width="3" style="2" customWidth="1"/>
    <col min="11" max="11" width="2.59765625" style="2" customWidth="1"/>
    <col min="12" max="12" width="3.09765625" style="2" customWidth="1"/>
    <col min="13" max="13" width="3.59765625" style="2" customWidth="1"/>
    <col min="14" max="14" width="3" style="2" customWidth="1"/>
    <col min="15" max="15" width="2.59765625" style="2" customWidth="1"/>
    <col min="16" max="16" width="3" style="2" customWidth="1"/>
    <col min="17" max="17" width="3.59765625" style="2" customWidth="1"/>
    <col min="18" max="18" width="3.09765625" style="2" customWidth="1"/>
    <col min="19" max="19" width="2.59765625" style="2" customWidth="1"/>
    <col min="20" max="20" width="3.5" style="2" customWidth="1"/>
    <col min="21" max="21" width="3.59765625" style="2" customWidth="1"/>
    <col min="22" max="22" width="3" style="2" customWidth="1"/>
    <col min="23" max="23" width="2.59765625" style="2" customWidth="1"/>
    <col min="24" max="24" width="3.8984375" style="2" customWidth="1"/>
    <col min="25" max="25" width="2.59765625" style="2" customWidth="1"/>
    <col min="26" max="26" width="3.69921875" style="2" customWidth="1"/>
    <col min="27" max="27" width="2.59765625" style="2" customWidth="1"/>
    <col min="28" max="28" width="3.8984375" style="2" customWidth="1"/>
    <col min="29" max="29" width="2.59765625" style="2" customWidth="1"/>
    <col min="30" max="30" width="2.8984375" style="2" customWidth="1"/>
    <col min="31" max="31" width="2.59765625" style="2" customWidth="1"/>
    <col min="32" max="32" width="3.3984375" style="2" customWidth="1"/>
    <col min="33" max="33" width="3.59765625" style="2" hidden="1" customWidth="1"/>
    <col min="34" max="35" width="2.59765625" style="2" hidden="1" customWidth="1"/>
    <col min="36" max="36" width="0.59375" style="2" hidden="1" customWidth="1"/>
    <col min="37" max="37" width="7.3984375" style="2" customWidth="1"/>
    <col min="38" max="40" width="6.59765625" style="2" customWidth="1"/>
    <col min="41" max="41" width="8.09765625" style="2" customWidth="1"/>
    <col min="42" max="43" width="6.59765625" style="2" customWidth="1"/>
    <col min="44" max="44" width="6.3984375" style="121" customWidth="1"/>
    <col min="45" max="46" width="6.59765625" style="2" customWidth="1"/>
    <col min="47" max="47" width="8.69921875" style="2" customWidth="1"/>
    <col min="48" max="48" width="8.19921875" style="2" customWidth="1"/>
    <col min="49" max="49" width="8.3984375" style="2" customWidth="1"/>
    <col min="50" max="16384" width="3.59765625" style="2" customWidth="1"/>
  </cols>
  <sheetData>
    <row r="1" ht="9" customHeight="1"/>
    <row r="2" spans="16:38" ht="24.75" customHeight="1">
      <c r="P2" s="644" t="s">
        <v>248</v>
      </c>
      <c r="Q2" s="644"/>
      <c r="R2" s="644"/>
      <c r="S2" s="645" t="str">
        <f>IF(VLOOKUP("1",'素データ'!V:W,2,FALSE)="","",VLOOKUP("1",'素データ'!V:W,2,FALSE))</f>
        <v>完了</v>
      </c>
      <c r="T2" s="645"/>
      <c r="U2" s="645"/>
      <c r="V2" s="645"/>
      <c r="W2" s="645"/>
      <c r="X2" s="645"/>
      <c r="Y2" s="126"/>
      <c r="Z2" s="701">
        <f>IF(OR(S2="",S2="完了"),"","分まで表示")</f>
      </c>
      <c r="AA2" s="701"/>
      <c r="AB2" s="701"/>
      <c r="AC2" s="701"/>
      <c r="AD2" s="701"/>
      <c r="AE2" s="701"/>
      <c r="AF2" s="701"/>
      <c r="AG2" s="701"/>
      <c r="AH2" s="701"/>
      <c r="AI2" s="701"/>
      <c r="AJ2" s="701"/>
      <c r="AK2" s="701"/>
      <c r="AL2" s="701"/>
    </row>
    <row r="3" ht="6" customHeight="1"/>
    <row r="4" spans="1:45" ht="15" customHeight="1">
      <c r="A4" s="41"/>
      <c r="C4" s="686" t="s">
        <v>437</v>
      </c>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41"/>
    </row>
    <row r="5" spans="1:45" ht="4.5" customHeight="1" thickBot="1">
      <c r="A5" s="17"/>
      <c r="AS5" s="17"/>
    </row>
    <row r="6" spans="1:50" ht="14.25" customHeight="1">
      <c r="A6" s="704" t="s">
        <v>251</v>
      </c>
      <c r="B6" s="3"/>
      <c r="C6" s="687"/>
      <c r="D6" s="688"/>
      <c r="E6" s="677" t="str">
        <f>C8</f>
        <v>A</v>
      </c>
      <c r="F6" s="678"/>
      <c r="G6" s="678"/>
      <c r="H6" s="679"/>
      <c r="I6" s="678" t="str">
        <f>C14</f>
        <v>B</v>
      </c>
      <c r="J6" s="678"/>
      <c r="K6" s="678"/>
      <c r="L6" s="678"/>
      <c r="M6" s="677" t="str">
        <f>C20</f>
        <v>C</v>
      </c>
      <c r="N6" s="678"/>
      <c r="O6" s="678"/>
      <c r="P6" s="679"/>
      <c r="Q6" s="678" t="str">
        <f>C26</f>
        <v>D</v>
      </c>
      <c r="R6" s="678"/>
      <c r="S6" s="678"/>
      <c r="T6" s="678"/>
      <c r="U6" s="677" t="str">
        <f>C32</f>
        <v>E</v>
      </c>
      <c r="V6" s="678"/>
      <c r="W6" s="678"/>
      <c r="X6" s="679"/>
      <c r="Y6" s="677" t="str">
        <f>C38</f>
        <v>F</v>
      </c>
      <c r="Z6" s="678"/>
      <c r="AA6" s="678"/>
      <c r="AB6" s="679"/>
      <c r="AC6" s="678" t="str">
        <f>C44</f>
        <v>G</v>
      </c>
      <c r="AD6" s="678"/>
      <c r="AE6" s="678"/>
      <c r="AF6" s="679"/>
      <c r="AG6" s="680" t="str">
        <f>C50</f>
        <v>H</v>
      </c>
      <c r="AH6" s="681"/>
      <c r="AI6" s="681"/>
      <c r="AJ6" s="682"/>
      <c r="AK6" s="691" t="s">
        <v>1</v>
      </c>
      <c r="AL6" s="691" t="s">
        <v>2</v>
      </c>
      <c r="AM6" s="691" t="s">
        <v>3</v>
      </c>
      <c r="AN6" s="693" t="s">
        <v>4</v>
      </c>
      <c r="AO6" s="691" t="s">
        <v>5</v>
      </c>
      <c r="AP6" s="691" t="s">
        <v>129</v>
      </c>
      <c r="AQ6" s="691" t="s">
        <v>130</v>
      </c>
      <c r="AR6" s="691" t="s">
        <v>51</v>
      </c>
      <c r="AS6" s="43"/>
      <c r="AT6" s="3"/>
      <c r="AU6" s="698" t="s">
        <v>65</v>
      </c>
      <c r="AV6" s="699"/>
      <c r="AW6" s="700"/>
      <c r="AX6" s="3"/>
    </row>
    <row r="7" spans="1:50" ht="15.75" customHeight="1" thickBot="1">
      <c r="A7" s="705"/>
      <c r="B7" s="3"/>
      <c r="C7" s="689"/>
      <c r="D7" s="690"/>
      <c r="E7" s="683" t="str">
        <f>VLOOKUP(E6,$C$8:$D$55,2,FALSE)</f>
        <v>ファイターズＡ</v>
      </c>
      <c r="F7" s="684"/>
      <c r="G7" s="684"/>
      <c r="H7" s="685"/>
      <c r="I7" s="683" t="str">
        <f>VLOOKUP(I6,$C$8:$D$55,2,FALSE)</f>
        <v>サンデーズＪｒＡ</v>
      </c>
      <c r="J7" s="684"/>
      <c r="K7" s="684"/>
      <c r="L7" s="685"/>
      <c r="M7" s="683" t="str">
        <f>VLOOKUP(M6,$C$8:$D$55,2,FALSE)</f>
        <v>ファイターズＢ</v>
      </c>
      <c r="N7" s="684"/>
      <c r="O7" s="684"/>
      <c r="P7" s="685"/>
      <c r="Q7" s="683" t="str">
        <f>VLOOKUP(Q6,$C$8:$D$55,2,FALSE)</f>
        <v>クッパーズＪｒ</v>
      </c>
      <c r="R7" s="684"/>
      <c r="S7" s="684"/>
      <c r="T7" s="685"/>
      <c r="U7" s="683" t="str">
        <f>VLOOKUP(U6,$C$8:$D$55,2,FALSE)</f>
        <v>パイレーツ</v>
      </c>
      <c r="V7" s="684"/>
      <c r="W7" s="684"/>
      <c r="X7" s="685"/>
      <c r="Y7" s="683" t="str">
        <f>VLOOKUP(Y6,$C$8:$D$55,2,FALSE)</f>
        <v>ベアーズ</v>
      </c>
      <c r="Z7" s="684"/>
      <c r="AA7" s="684"/>
      <c r="AB7" s="685"/>
      <c r="AC7" s="683" t="str">
        <f>VLOOKUP(AC6,$C$8:$D$55,2,FALSE)</f>
        <v>サンデーズＪｒＢ</v>
      </c>
      <c r="AD7" s="684"/>
      <c r="AE7" s="684"/>
      <c r="AF7" s="685"/>
      <c r="AG7" s="695" t="str">
        <f>VLOOKUP(AG6,$C$8:$D$55,2,FALSE)</f>
        <v>Dummy</v>
      </c>
      <c r="AH7" s="696"/>
      <c r="AI7" s="696"/>
      <c r="AJ7" s="697"/>
      <c r="AK7" s="692"/>
      <c r="AL7" s="692"/>
      <c r="AM7" s="692"/>
      <c r="AN7" s="694"/>
      <c r="AO7" s="692"/>
      <c r="AP7" s="692"/>
      <c r="AQ7" s="692"/>
      <c r="AR7" s="692"/>
      <c r="AS7" s="43"/>
      <c r="AT7" s="3"/>
      <c r="AU7" s="4" t="s">
        <v>2</v>
      </c>
      <c r="AV7" s="5" t="s">
        <v>3</v>
      </c>
      <c r="AW7" s="6" t="s">
        <v>4</v>
      </c>
      <c r="AX7" s="3"/>
    </row>
    <row r="8" spans="1:49" ht="12.75" customHeight="1">
      <c r="A8" s="604">
        <f>AO8+(AL8-AM8)/100000+0.000007</f>
        <v>0.824117</v>
      </c>
      <c r="C8" s="652" t="str">
        <f>'素データ'!Y7</f>
        <v>A</v>
      </c>
      <c r="D8" s="655" t="str">
        <f>VLOOKUP(C8,'素データ'!Y7:Z14,2,FALSE)</f>
        <v>ファイターズＡ</v>
      </c>
      <c r="E8" s="614" t="s">
        <v>6</v>
      </c>
      <c r="F8" s="615"/>
      <c r="G8" s="615"/>
      <c r="H8" s="616"/>
      <c r="I8" s="127" t="str">
        <f>IF(ISNA(VLOOKUP("AB1",'素データ'!$P:$R,3,FALSE)),"",VLOOKUP("AB1",'素データ'!$P:$R,3,FALSE))</f>
        <v>●</v>
      </c>
      <c r="J8" s="127">
        <f>IF(ISNA(VLOOKUP("AB1",'素データ'!$P:$T,4,FALSE)),"",VLOOKUP("AB1",'素データ'!$P:$T,4,FALSE))</f>
        <v>3</v>
      </c>
      <c r="K8" s="127" t="str">
        <f aca="true" t="shared" si="0" ref="K8:K13">IF(I8="","","－")</f>
        <v>－</v>
      </c>
      <c r="L8" s="127">
        <f>IF(ISNA(VLOOKUP("AB1",'素データ'!$P:$T,5,FALSE)),"",VLOOKUP("AB1",'素データ'!$P:$T,5,FALSE))</f>
        <v>6</v>
      </c>
      <c r="M8" s="128" t="str">
        <f>IF(ISNA(VLOOKUP("AC1",'素データ'!$P:$R,3,FALSE)),"",VLOOKUP("AC1",'素データ'!$P:$R,3,FALSE))</f>
        <v>○</v>
      </c>
      <c r="N8" s="127">
        <f>IF(ISNA(VLOOKUP("AC1",'素データ'!$P:$T,4,FALSE)),"",VLOOKUP("AC1",'素データ'!$P:$T,4,FALSE))</f>
        <v>6</v>
      </c>
      <c r="O8" s="127" t="str">
        <f aca="true" t="shared" si="1" ref="O8:O13">IF(M8="","","－")</f>
        <v>－</v>
      </c>
      <c r="P8" s="129">
        <f>IF(ISNA(VLOOKUP("AC1",'素データ'!$P:$T,5,FALSE)),"",VLOOKUP("AC1",'素データ'!$P:$T,5,FALSE))</f>
        <v>4</v>
      </c>
      <c r="Q8" s="127" t="str">
        <f>IF(ISNA(VLOOKUP("AD1",'素データ'!$P:$R,3,FALSE)),"",VLOOKUP("AD1",'素データ'!$P:$R,3,FALSE))</f>
        <v>△</v>
      </c>
      <c r="R8" s="127">
        <f>IF(ISNA(VLOOKUP("AD1",'素データ'!$P:$T,4,FALSE)),"",VLOOKUP("AD1",'素データ'!$P:$T,4,FALSE))</f>
        <v>2</v>
      </c>
      <c r="S8" s="127" t="str">
        <f aca="true" t="shared" si="2" ref="S8:S19">IF(Q8="","","－")</f>
        <v>－</v>
      </c>
      <c r="T8" s="127">
        <f>IF(ISNA(VLOOKUP("AD1",'素データ'!$P:$T,5,FALSE)),"",VLOOKUP("AD1",'素データ'!$P:$T,5,FALSE))</f>
        <v>2</v>
      </c>
      <c r="U8" s="128" t="str">
        <f>IF(ISNA(VLOOKUP("AE1",'素データ'!$P:$R,3,FALSE)),"",VLOOKUP("AE1",'素データ'!$P:$R,3,FALSE))</f>
        <v>○</v>
      </c>
      <c r="V8" s="127">
        <f>IF(ISNA(VLOOKUP("AE1",'素データ'!$P:$T,4,FALSE)),"",VLOOKUP("AE1",'素データ'!$P:$T,4,FALSE))</f>
        <v>11</v>
      </c>
      <c r="W8" s="127" t="str">
        <f aca="true" t="shared" si="3" ref="W8:W25">IF(U8="","","－")</f>
        <v>－</v>
      </c>
      <c r="X8" s="129">
        <f>IF(ISNA(VLOOKUP("AE1",'素データ'!$P:$T,5,FALSE)),"",VLOOKUP("AE1",'素データ'!$P:$T,5,FALSE))</f>
        <v>3</v>
      </c>
      <c r="Y8" s="128" t="str">
        <f>IF(ISNA(VLOOKUP("AF1",'素データ'!$P:$R,3,FALSE)),"",VLOOKUP("AF1",'素データ'!$P:$R,3,FALSE))</f>
        <v>○</v>
      </c>
      <c r="Z8" s="127">
        <f>IF(ISNA(VLOOKUP("AF1",'素データ'!$P:$T,4,FALSE)),"",VLOOKUP("AF1",'素データ'!$P:$T,4,FALSE))</f>
        <v>22</v>
      </c>
      <c r="AA8" s="127" t="str">
        <f aca="true" t="shared" si="4" ref="AA8:AA31">IF(Y8="","","－")</f>
        <v>－</v>
      </c>
      <c r="AB8" s="129">
        <f>IF(ISNA(VLOOKUP("AF1",'素データ'!$P:$T,5,FALSE)),"",VLOOKUP("AF1",'素データ'!$P:$T,5,FALSE))</f>
        <v>4</v>
      </c>
      <c r="AC8" s="128" t="str">
        <f>IF(ISNA(VLOOKUP("AG1",'素データ'!$P:$R,3,FALSE)),"",VLOOKUP("AG1",'素データ'!$P:$R,3,FALSE))</f>
        <v>○</v>
      </c>
      <c r="AD8" s="127">
        <f>IF(ISNA(VLOOKUP("AG1",'素データ'!$P:$T,4,FALSE)),"",VLOOKUP("AG1",'素データ'!$P:$T,4,FALSE))</f>
        <v>30</v>
      </c>
      <c r="AE8" s="127" t="str">
        <f aca="true" t="shared" si="5" ref="AE8:AE43">IF(AC8="","","－")</f>
        <v>－</v>
      </c>
      <c r="AF8" s="129">
        <f>IF(ISNA(VLOOKUP("AG1",'素データ'!$P:$T,5,FALSE)),"",VLOOKUP("AG1",'素データ'!$P:$T,5,FALSE))</f>
        <v>3</v>
      </c>
      <c r="AG8" s="413">
        <f>IF(ISNA(VLOOKUP("AH1",'素データ'!$P:$R,3,FALSE)),"",VLOOKUP("AH1",'素データ'!$P:$R,3,FALSE))</f>
      </c>
      <c r="AH8" s="414">
        <f>IF(ISNA(VLOOKUP("AH1",'素データ'!$P:$T,4,FALSE)),"",VLOOKUP("AH1",'素データ'!$P:$T,4,FALSE))</f>
      </c>
      <c r="AI8" s="414">
        <f aca="true" t="shared" si="6" ref="AI8:AI49">IF(AG8="","","－")</f>
      </c>
      <c r="AJ8" s="415">
        <f>IF(ISNA(VLOOKUP("AH1",'素データ'!$P:$T,5,FALSE)),"",VLOOKUP("AH1",'素データ'!$P:$T,5,FALSE))</f>
      </c>
      <c r="AK8" s="638">
        <f>SUM(AL8:AN8)</f>
        <v>18</v>
      </c>
      <c r="AL8" s="638">
        <f>COUNTIF(E8:AG13,"○")</f>
        <v>14</v>
      </c>
      <c r="AM8" s="638">
        <f>COUNTIF(E8:AG13,"●")</f>
        <v>3</v>
      </c>
      <c r="AN8" s="638">
        <f>COUNTIF(E8:AG13,"△")</f>
        <v>1</v>
      </c>
      <c r="AO8" s="641">
        <f>ROUND(AL8/(AL8+AM8),3)</f>
        <v>0.824</v>
      </c>
      <c r="AP8" s="623">
        <f>SUM(J8:J13)+SUM(N8:N13)+SUM(R8:R13)+SUM(V8:V13)+SUM(Z8:Z13)+SUM(AD8:AD13)+SUM(AH8:AH13)</f>
        <v>179</v>
      </c>
      <c r="AQ8" s="623">
        <f>SUM(L8:L13)+SUM(P8:P13)+SUM(T8:T13)+SUM(X8:X13)+SUM(AB8:AB13)+SUM(AF8:AF13)+SUM(AJ8:AJ13)</f>
        <v>57</v>
      </c>
      <c r="AR8" s="629">
        <f>RANK(AO8,$AO$8:$AO$49,0)</f>
        <v>2</v>
      </c>
      <c r="AS8" s="456"/>
      <c r="AT8" s="17"/>
      <c r="AU8" s="635" t="str">
        <f>IF(AL8=((DCOUNTA('素データ'!$F$5:$L$69,"試合結果",criteria!B1:H2))+(DCOUNTA('素データ'!$F$5:$L$69,"試合結果",criteria!B3:H4))),"OK","NG")</f>
        <v>OK</v>
      </c>
      <c r="AV8" s="632" t="str">
        <f>IF(AM8=((DCOUNTA('素データ'!$F$5:$L$69,"試合結果",criteria!B5:H6))+(DCOUNTA('素データ'!$F$5:$L$69,"試合結果",criteria!B7:H8))),"OK","NG")</f>
        <v>OK</v>
      </c>
      <c r="AW8" s="626" t="str">
        <f>IF(AN8=((DCOUNTA('素データ'!$F$5:$L$69,"試合結果",criteria!B9:H10))+(DCOUNTA('素データ'!$F$5:$L$69,"試合結果",criteria!B11:H12))),"OK","NG")</f>
        <v>OK</v>
      </c>
    </row>
    <row r="9" spans="1:49" ht="12.75" customHeight="1">
      <c r="A9" s="604"/>
      <c r="C9" s="653"/>
      <c r="D9" s="656"/>
      <c r="E9" s="617"/>
      <c r="F9" s="618"/>
      <c r="G9" s="618"/>
      <c r="H9" s="619"/>
      <c r="I9" s="130" t="str">
        <f>IF(ISNA(VLOOKUP("AB2",'素データ'!$P:$R,3,FALSE)),"",VLOOKUP("AB2",'素データ'!$P:$R,3,FALSE))</f>
        <v>○</v>
      </c>
      <c r="J9" s="130">
        <f>IF(ISNA(VLOOKUP("AB2",'素データ'!$P:$T,4,FALSE)),"",VLOOKUP("AB2",'素データ'!$P:$T,4,FALSE))</f>
        <v>5</v>
      </c>
      <c r="K9" s="130" t="str">
        <f t="shared" si="0"/>
        <v>－</v>
      </c>
      <c r="L9" s="130">
        <f>IF(ISNA(VLOOKUP("AB2",'素データ'!$P:$T,5,FALSE)),"",VLOOKUP("AB2",'素データ'!$P:$T,5,FALSE))</f>
        <v>2</v>
      </c>
      <c r="M9" s="131" t="str">
        <f>IF(ISNA(VLOOKUP("AC2",'素データ'!$P:$R,3,FALSE)),"",VLOOKUP("AC2",'素データ'!$P:$R,3,FALSE))</f>
        <v>●</v>
      </c>
      <c r="N9" s="130">
        <f>IF(ISNA(VLOOKUP("AC2",'素データ'!$P:$T,4,FALSE)),"",VLOOKUP("AC2",'素データ'!$P:$T,4,FALSE))</f>
        <v>1</v>
      </c>
      <c r="O9" s="130" t="str">
        <f t="shared" si="1"/>
        <v>－</v>
      </c>
      <c r="P9" s="132">
        <f>IF(ISNA(VLOOKUP("AC2",'素データ'!$P:$T,5,FALSE)),"",VLOOKUP("AC2",'素データ'!$P:$T,5,FALSE))</f>
        <v>2</v>
      </c>
      <c r="Q9" s="130" t="str">
        <f>IF(ISNA(VLOOKUP("AD2",'素データ'!$P:$R,3,FALSE)),"",VLOOKUP("AD2",'素データ'!$P:$R,3,FALSE))</f>
        <v>○</v>
      </c>
      <c r="R9" s="130">
        <f>IF(ISNA(VLOOKUP("AD2",'素データ'!$P:$T,4,FALSE)),"",VLOOKUP("AD2",'素データ'!$P:$T,4,FALSE))</f>
        <v>8</v>
      </c>
      <c r="S9" s="130" t="str">
        <f t="shared" si="2"/>
        <v>－</v>
      </c>
      <c r="T9" s="130">
        <f>IF(ISNA(VLOOKUP("AD2",'素データ'!$P:$T,5,FALSE)),"",VLOOKUP("AD2",'素データ'!$P:$T,5,FALSE))</f>
        <v>5</v>
      </c>
      <c r="U9" s="131" t="str">
        <f>IF(ISNA(VLOOKUP("AE2",'素データ'!$P:$R,3,FALSE)),"",VLOOKUP("AE2",'素データ'!$P:$R,3,FALSE))</f>
        <v>○</v>
      </c>
      <c r="V9" s="130">
        <f>IF(ISNA(VLOOKUP("AE2",'素データ'!$P:$T,4,FALSE)),"",VLOOKUP("AE2",'素データ'!$P:$T,4,FALSE))</f>
        <v>4</v>
      </c>
      <c r="W9" s="130" t="str">
        <f t="shared" si="3"/>
        <v>－</v>
      </c>
      <c r="X9" s="132">
        <f>IF(ISNA(VLOOKUP("AE2",'素データ'!$P:$T,5,FALSE)),"",VLOOKUP("AE2",'素データ'!$P:$T,5,FALSE))</f>
        <v>0</v>
      </c>
      <c r="Y9" s="131" t="str">
        <f>IF(ISNA(VLOOKUP("AF2",'素データ'!$P:$R,3,FALSE)),"",VLOOKUP("AF2",'素データ'!$P:$R,3,FALSE))</f>
        <v>○</v>
      </c>
      <c r="Z9" s="130">
        <f>IF(ISNA(VLOOKUP("AF2",'素データ'!$P:$T,4,FALSE)),"",VLOOKUP("AF2",'素データ'!$P:$T,4,FALSE))</f>
        <v>17</v>
      </c>
      <c r="AA9" s="130" t="str">
        <f t="shared" si="4"/>
        <v>－</v>
      </c>
      <c r="AB9" s="132">
        <f>IF(ISNA(VLOOKUP("AF2",'素データ'!$P:$T,5,FALSE)),"",VLOOKUP("AF2",'素データ'!$P:$T,5,FALSE))</f>
        <v>1</v>
      </c>
      <c r="AC9" s="131" t="str">
        <f>IF(ISNA(VLOOKUP("AG2",'素データ'!$P:$R,3,FALSE)),"",VLOOKUP("AG2",'素データ'!$P:$R,3,FALSE))</f>
        <v>○</v>
      </c>
      <c r="AD9" s="130">
        <f>IF(ISNA(VLOOKUP("AG2",'素データ'!$P:$T,4,FALSE)),"",VLOOKUP("AG2",'素データ'!$P:$T,4,FALSE))</f>
        <v>14</v>
      </c>
      <c r="AE9" s="130" t="str">
        <f t="shared" si="5"/>
        <v>－</v>
      </c>
      <c r="AF9" s="132">
        <f>IF(ISNA(VLOOKUP("AG2",'素データ'!$P:$T,5,FALSE)),"",VLOOKUP("AG2",'素データ'!$P:$T,5,FALSE))</f>
        <v>13</v>
      </c>
      <c r="AG9" s="416">
        <f>IF(ISNA(VLOOKUP("AH2",'素データ'!$P:$R,3,FALSE)),"",VLOOKUP("AH2",'素データ'!$P:$R,3,FALSE))</f>
      </c>
      <c r="AH9" s="417">
        <f>IF(ISNA(VLOOKUP("AH2",'素データ'!$P:$T,4,FALSE)),"",VLOOKUP("AH2",'素データ'!$P:$T,4,FALSE))</f>
      </c>
      <c r="AI9" s="417">
        <f t="shared" si="6"/>
      </c>
      <c r="AJ9" s="418">
        <f>IF(ISNA(VLOOKUP("AH2",'素データ'!$P:$T,5,FALSE)),"",VLOOKUP("AH2",'素データ'!$P:$T,5,FALSE))</f>
      </c>
      <c r="AK9" s="639"/>
      <c r="AL9" s="639"/>
      <c r="AM9" s="639"/>
      <c r="AN9" s="639"/>
      <c r="AO9" s="642"/>
      <c r="AP9" s="624"/>
      <c r="AQ9" s="624"/>
      <c r="AR9" s="630"/>
      <c r="AS9" s="456"/>
      <c r="AT9" s="17"/>
      <c r="AU9" s="636"/>
      <c r="AV9" s="633"/>
      <c r="AW9" s="627"/>
    </row>
    <row r="10" spans="1:49" ht="12.75" customHeight="1">
      <c r="A10" s="604"/>
      <c r="C10" s="653"/>
      <c r="D10" s="656"/>
      <c r="E10" s="617"/>
      <c r="F10" s="618"/>
      <c r="G10" s="618"/>
      <c r="H10" s="619"/>
      <c r="I10" s="130" t="str">
        <f>IF(ISNA(VLOOKUP("AB3",'素データ'!$P:$R,3,FALSE)),"",VLOOKUP("AB3",'素データ'!$P:$R,3,FALSE))</f>
        <v>○</v>
      </c>
      <c r="J10" s="130">
        <f>IF(ISNA(VLOOKUP("AB3",'素データ'!$P:$T,4,FALSE)),"",VLOOKUP("AB3",'素データ'!$P:$T,4,FALSE))</f>
        <v>7</v>
      </c>
      <c r="K10" s="130" t="str">
        <f t="shared" si="0"/>
        <v>－</v>
      </c>
      <c r="L10" s="130">
        <f>IF(ISNA(VLOOKUP("AB3",'素データ'!$P:$T,5,FALSE)),"",VLOOKUP("AB3",'素データ'!$P:$T,5,FALSE))</f>
        <v>3</v>
      </c>
      <c r="M10" s="131" t="str">
        <f>IF(ISNA(VLOOKUP("AC3",'素データ'!$P:$R,3,FALSE)),"",VLOOKUP("AC3",'素データ'!$P:$R,3,FALSE))</f>
        <v>●</v>
      </c>
      <c r="N10" s="130">
        <f>IF(ISNA(VLOOKUP("AC3",'素データ'!$P:$T,4,FALSE)),"",VLOOKUP("AC3",'素データ'!$P:$T,4,FALSE))</f>
        <v>2</v>
      </c>
      <c r="O10" s="130" t="str">
        <f t="shared" si="1"/>
        <v>－</v>
      </c>
      <c r="P10" s="132">
        <f>IF(ISNA(VLOOKUP("AC3",'素データ'!$P:$T,5,FALSE)),"",VLOOKUP("AC3",'素データ'!$P:$T,5,FALSE))</f>
        <v>4</v>
      </c>
      <c r="Q10" s="130" t="str">
        <f>IF(ISNA(VLOOKUP("AD3",'素データ'!$P:$R,3,FALSE)),"",VLOOKUP("AD3",'素データ'!$P:$R,3,FALSE))</f>
        <v>○</v>
      </c>
      <c r="R10" s="130">
        <f>IF(ISNA(VLOOKUP("AD3",'素データ'!$P:$T,4,FALSE)),"",VLOOKUP("AD3",'素データ'!$P:$T,4,FALSE))</f>
        <v>8</v>
      </c>
      <c r="S10" s="130" t="str">
        <f t="shared" si="2"/>
        <v>－</v>
      </c>
      <c r="T10" s="130">
        <f>IF(ISNA(VLOOKUP("AD3",'素データ'!$P:$T,5,FALSE)),"",VLOOKUP("AD3",'素データ'!$P:$T,5,FALSE))</f>
        <v>2</v>
      </c>
      <c r="U10" s="131" t="str">
        <f>IF(ISNA(VLOOKUP("AE3",'素データ'!$P:$R,3,FALSE)),"",VLOOKUP("AE3",'素データ'!$P:$R,3,FALSE))</f>
        <v>○</v>
      </c>
      <c r="V10" s="130">
        <f>IF(ISNA(VLOOKUP("AE3",'素データ'!$P:$T,4,FALSE)),"",VLOOKUP("AE3",'素データ'!$P:$T,4,FALSE))</f>
        <v>8</v>
      </c>
      <c r="W10" s="130" t="str">
        <f t="shared" si="3"/>
        <v>－</v>
      </c>
      <c r="X10" s="132">
        <f>IF(ISNA(VLOOKUP("AE3",'素データ'!$P:$T,5,FALSE)),"",VLOOKUP("AE3",'素データ'!$P:$T,5,FALSE))</f>
        <v>1</v>
      </c>
      <c r="Y10" s="131" t="str">
        <f>IF(ISNA(VLOOKUP("AF3",'素データ'!$P:$R,3,FALSE)),"",VLOOKUP("AF3",'素データ'!$P:$R,3,FALSE))</f>
        <v>○</v>
      </c>
      <c r="Z10" s="130">
        <f>IF(ISNA(VLOOKUP("AF3",'素データ'!$P:$T,4,FALSE)),"",VLOOKUP("AF3",'素データ'!$P:$T,4,FALSE))</f>
        <v>13</v>
      </c>
      <c r="AA10" s="130" t="str">
        <f t="shared" si="4"/>
        <v>－</v>
      </c>
      <c r="AB10" s="132">
        <f>IF(ISNA(VLOOKUP("AF3",'素データ'!$P:$T,5,FALSE)),"",VLOOKUP("AF3",'素データ'!$P:$T,5,FALSE))</f>
        <v>0</v>
      </c>
      <c r="AC10" s="131" t="str">
        <f>IF(ISNA(VLOOKUP("AG3",'素データ'!$P:$R,3,FALSE)),"",VLOOKUP("AG3",'素データ'!$P:$R,3,FALSE))</f>
        <v>○</v>
      </c>
      <c r="AD10" s="130">
        <f>IF(ISNA(VLOOKUP("AG3",'素データ'!$P:$T,4,FALSE)),"",VLOOKUP("AG3",'素データ'!$P:$T,4,FALSE))</f>
        <v>18</v>
      </c>
      <c r="AE10" s="130" t="str">
        <f t="shared" si="5"/>
        <v>－</v>
      </c>
      <c r="AF10" s="132">
        <f>IF(ISNA(VLOOKUP("AG3",'素データ'!$P:$T,5,FALSE)),"",VLOOKUP("AG3",'素データ'!$P:$T,5,FALSE))</f>
        <v>2</v>
      </c>
      <c r="AG10" s="416">
        <f>IF(ISNA(VLOOKUP("AH3",'素データ'!$P:$R,3,FALSE)),"",VLOOKUP("AH3",'素データ'!$P:$R,3,FALSE))</f>
      </c>
      <c r="AH10" s="417">
        <f>IF(ISNA(VLOOKUP("AH3",'素データ'!$P:$T,4,FALSE)),"",VLOOKUP("AH3",'素データ'!$P:$T,4,FALSE))</f>
      </c>
      <c r="AI10" s="417">
        <f t="shared" si="6"/>
      </c>
      <c r="AJ10" s="418">
        <f>IF(ISNA(VLOOKUP("AH3",'素データ'!$P:$T,5,FALSE)),"",VLOOKUP("AH3",'素データ'!$P:$T,5,FALSE))</f>
      </c>
      <c r="AK10" s="639"/>
      <c r="AL10" s="639"/>
      <c r="AM10" s="639"/>
      <c r="AN10" s="639"/>
      <c r="AO10" s="642"/>
      <c r="AP10" s="624"/>
      <c r="AQ10" s="624"/>
      <c r="AR10" s="630"/>
      <c r="AS10" s="456"/>
      <c r="AT10" s="17"/>
      <c r="AU10" s="636"/>
      <c r="AV10" s="633"/>
      <c r="AW10" s="627"/>
    </row>
    <row r="11" spans="1:49" ht="12.75" customHeight="1">
      <c r="A11" s="604"/>
      <c r="C11" s="653"/>
      <c r="D11" s="656"/>
      <c r="E11" s="617"/>
      <c r="F11" s="618"/>
      <c r="G11" s="618"/>
      <c r="H11" s="619"/>
      <c r="I11" s="130">
        <f>IF(ISNA(VLOOKUP("AB4",'素データ'!$P:$R,3,FALSE)),"",VLOOKUP("AB4",'素データ'!$P:$R,3,FALSE))</f>
      </c>
      <c r="J11" s="130">
        <f>IF(ISNA(VLOOKUP("AB4",'素データ'!$P:$T,4,FALSE)),"",VLOOKUP("AB4",'素データ'!$P:$T,4,FALSE))</f>
      </c>
      <c r="K11" s="130">
        <f t="shared" si="0"/>
      </c>
      <c r="L11" s="130">
        <f>IF(ISNA(VLOOKUP("AB4",'素データ'!$P:$T,5,FALSE)),"",VLOOKUP("AB4",'素データ'!$P:$T,5,FALSE))</f>
      </c>
      <c r="M11" s="131">
        <f>IF(ISNA(VLOOKUP("AC4",'素データ'!$P:$R,3,FALSE)),"",VLOOKUP("AC4",'素データ'!$P:$R,3,FALSE))</f>
      </c>
      <c r="N11" s="130">
        <f>IF(ISNA(VLOOKUP("AC4",'素データ'!$P:$T,4,FALSE)),"",VLOOKUP("AC4",'素データ'!$P:$T,4,FALSE))</f>
      </c>
      <c r="O11" s="130">
        <f t="shared" si="1"/>
      </c>
      <c r="P11" s="132">
        <f>IF(ISNA(VLOOKUP("AC4",'素データ'!$P:$T,5,FALSE)),"",VLOOKUP("AC4",'素データ'!$P:$T,5,FALSE))</f>
      </c>
      <c r="Q11" s="130">
        <f>IF(ISNA(VLOOKUP("AD4",'素データ'!$P:$R,3,FALSE)),"",VLOOKUP("AD4",'素データ'!$P:$R,3,FALSE))</f>
      </c>
      <c r="R11" s="130">
        <f>IF(ISNA(VLOOKUP("AD4",'素データ'!$P:$T,4,FALSE)),"",VLOOKUP("AD4",'素データ'!$P:$T,4,FALSE))</f>
      </c>
      <c r="S11" s="130">
        <f t="shared" si="2"/>
      </c>
      <c r="T11" s="130">
        <f>IF(ISNA(VLOOKUP("AD4",'素データ'!$P:$T,5,FALSE)),"",VLOOKUP("AD4",'素データ'!$P:$T,5,FALSE))</f>
      </c>
      <c r="U11" s="131">
        <f>IF(ISNA(VLOOKUP("AE4",'素データ'!$P:$R,3,FALSE)),"",VLOOKUP("AE4",'素データ'!$P:$R,3,FALSE))</f>
      </c>
      <c r="V11" s="130">
        <f>IF(ISNA(VLOOKUP("AE4",'素データ'!$P:$T,4,FALSE)),"",VLOOKUP("AE4",'素データ'!$P:$T,4,FALSE))</f>
      </c>
      <c r="W11" s="130">
        <f t="shared" si="3"/>
      </c>
      <c r="X11" s="132">
        <f>IF(ISNA(VLOOKUP("AE4",'素データ'!$P:$T,5,FALSE)),"",VLOOKUP("AE4",'素データ'!$P:$T,5,FALSE))</f>
      </c>
      <c r="Y11" s="131">
        <f>IF(ISNA(VLOOKUP("AF4",'素データ'!$P:$R,3,FALSE)),"",VLOOKUP("AF4",'素データ'!$P:$R,3,FALSE))</f>
      </c>
      <c r="Z11" s="130">
        <f>IF(ISNA(VLOOKUP("AF4",'素データ'!$P:$T,4,FALSE)),"",VLOOKUP("AF4",'素データ'!$P:$T,4,FALSE))</f>
      </c>
      <c r="AA11" s="130">
        <f t="shared" si="4"/>
      </c>
      <c r="AB11" s="132">
        <f>IF(ISNA(VLOOKUP("AF4",'素データ'!$P:$T,5,FALSE)),"",VLOOKUP("AF4",'素データ'!$P:$T,5,FALSE))</f>
      </c>
      <c r="AC11" s="131">
        <f>IF(ISNA(VLOOKUP("AG4",'素データ'!$P:$R,3,FALSE)),"",VLOOKUP("AG4",'素データ'!$P:$R,3,FALSE))</f>
      </c>
      <c r="AD11" s="130">
        <f>IF(ISNA(VLOOKUP("AG4",'素データ'!$P:$T,4,FALSE)),"",VLOOKUP("AG4",'素データ'!$P:$T,4,FALSE))</f>
      </c>
      <c r="AE11" s="130">
        <f t="shared" si="5"/>
      </c>
      <c r="AF11" s="132">
        <f>IF(ISNA(VLOOKUP("AG4",'素データ'!$P:$T,5,FALSE)),"",VLOOKUP("AG4",'素データ'!$P:$T,5,FALSE))</f>
      </c>
      <c r="AG11" s="416">
        <f>IF(ISNA(VLOOKUP("AH4",'素データ'!$P:$R,3,FALSE)),"",VLOOKUP("AH4",'素データ'!$P:$R,3,FALSE))</f>
      </c>
      <c r="AH11" s="417">
        <f>IF(ISNA(VLOOKUP("AH4",'素データ'!$P:$T,4,FALSE)),"",VLOOKUP("AH4",'素データ'!$P:$T,4,FALSE))</f>
      </c>
      <c r="AI11" s="417">
        <f t="shared" si="6"/>
      </c>
      <c r="AJ11" s="418">
        <f>IF(ISNA(VLOOKUP("AH4",'素データ'!$P:$T,5,FALSE)),"",VLOOKUP("AH4",'素データ'!$P:$T,5,FALSE))</f>
      </c>
      <c r="AK11" s="639"/>
      <c r="AL11" s="639"/>
      <c r="AM11" s="639"/>
      <c r="AN11" s="639"/>
      <c r="AO11" s="642"/>
      <c r="AP11" s="624"/>
      <c r="AQ11" s="624"/>
      <c r="AR11" s="630"/>
      <c r="AS11" s="456"/>
      <c r="AT11" s="17"/>
      <c r="AU11" s="636"/>
      <c r="AV11" s="633"/>
      <c r="AW11" s="627"/>
    </row>
    <row r="12" spans="1:49" ht="12.75" customHeight="1">
      <c r="A12" s="604"/>
      <c r="C12" s="653"/>
      <c r="D12" s="656"/>
      <c r="E12" s="617"/>
      <c r="F12" s="618"/>
      <c r="G12" s="618"/>
      <c r="H12" s="619"/>
      <c r="I12" s="130">
        <f>IF(ISNA(VLOOKUP("AB5",'素データ'!$P:$R,3,FALSE)),"",VLOOKUP("AB5",'素データ'!$P:$R,3,FALSE))</f>
      </c>
      <c r="J12" s="130">
        <f>IF(ISNA(VLOOKUP("AB5",'素データ'!$P:$T,4,FALSE)),"",VLOOKUP("AB5",'素データ'!$P:$T,4,FALSE))</f>
      </c>
      <c r="K12" s="130">
        <f t="shared" si="0"/>
      </c>
      <c r="L12" s="130">
        <f>IF(ISNA(VLOOKUP("AB5",'素データ'!$P:$T,5,FALSE)),"",VLOOKUP("AB5",'素データ'!$P:$T,5,FALSE))</f>
      </c>
      <c r="M12" s="131">
        <f>IF(ISNA(VLOOKUP("AC5",'素データ'!$P:$R,3,FALSE)),"",VLOOKUP("AC5",'素データ'!$P:$R,3,FALSE))</f>
      </c>
      <c r="N12" s="130">
        <f>IF(ISNA(VLOOKUP("AC5",'素データ'!$P:$T,4,FALSE)),"",VLOOKUP("AC5",'素データ'!$P:$T,4,FALSE))</f>
      </c>
      <c r="O12" s="130">
        <f t="shared" si="1"/>
      </c>
      <c r="P12" s="132">
        <f>IF(ISNA(VLOOKUP("AC5",'素データ'!$P:$T,5,FALSE)),"",VLOOKUP("AC5",'素データ'!$P:$T,5,FALSE))</f>
      </c>
      <c r="Q12" s="130">
        <f>IF(ISNA(VLOOKUP("AD5",'素データ'!$P:$R,3,FALSE)),"",VLOOKUP("AD5",'素データ'!$P:$R,3,FALSE))</f>
      </c>
      <c r="R12" s="130">
        <f>IF(ISNA(VLOOKUP("AD5",'素データ'!$P:$T,4,FALSE)),"",VLOOKUP("AD5",'素データ'!$P:$T,4,FALSE))</f>
      </c>
      <c r="S12" s="130">
        <f t="shared" si="2"/>
      </c>
      <c r="T12" s="130">
        <f>IF(ISNA(VLOOKUP("AD5",'素データ'!$P:$T,5,FALSE)),"",VLOOKUP("AD5",'素データ'!$P:$T,5,FALSE))</f>
      </c>
      <c r="U12" s="131">
        <f>IF(ISNA(VLOOKUP("AE5",'素データ'!$P:$R,3,FALSE)),"",VLOOKUP("AE5",'素データ'!$P:$R,3,FALSE))</f>
      </c>
      <c r="V12" s="130">
        <f>IF(ISNA(VLOOKUP("AE5",'素データ'!$P:$T,4,FALSE)),"",VLOOKUP("AE5",'素データ'!$P:$T,4,FALSE))</f>
      </c>
      <c r="W12" s="130">
        <f t="shared" si="3"/>
      </c>
      <c r="X12" s="132">
        <f>IF(ISNA(VLOOKUP("AE5",'素データ'!$P:$T,5,FALSE)),"",VLOOKUP("AE5",'素データ'!$P:$T,5,FALSE))</f>
      </c>
      <c r="Y12" s="131">
        <f>IF(ISNA(VLOOKUP("AF5",'素データ'!$P:$R,3,FALSE)),"",VLOOKUP("AF5",'素データ'!$P:$R,3,FALSE))</f>
      </c>
      <c r="Z12" s="130">
        <f>IF(ISNA(VLOOKUP("AF5",'素データ'!$P:$T,4,FALSE)),"",VLOOKUP("AF5",'素データ'!$P:$T,4,FALSE))</f>
      </c>
      <c r="AA12" s="130">
        <f t="shared" si="4"/>
      </c>
      <c r="AB12" s="132">
        <f>IF(ISNA(VLOOKUP("AF5",'素データ'!$P:$T,5,FALSE)),"",VLOOKUP("AF5",'素データ'!$P:$T,5,FALSE))</f>
      </c>
      <c r="AC12" s="131">
        <f>IF(ISNA(VLOOKUP("AG5",'素データ'!$P:$R,3,FALSE)),"",VLOOKUP("AG5",'素データ'!$P:$R,3,FALSE))</f>
      </c>
      <c r="AD12" s="130">
        <f>IF(ISNA(VLOOKUP("AG5",'素データ'!$P:$T,4,FALSE)),"",VLOOKUP("AG5",'素データ'!$P:$T,4,FALSE))</f>
      </c>
      <c r="AE12" s="130">
        <f t="shared" si="5"/>
      </c>
      <c r="AF12" s="132">
        <f>IF(ISNA(VLOOKUP("AG5",'素データ'!$P:$T,5,FALSE)),"",VLOOKUP("AG5",'素データ'!$P:$T,5,FALSE))</f>
      </c>
      <c r="AG12" s="416">
        <f>IF(ISNA(VLOOKUP("AH5",'素データ'!$P:$R,3,FALSE)),"",VLOOKUP("AH5",'素データ'!$P:$R,3,FALSE))</f>
      </c>
      <c r="AH12" s="417">
        <f>IF(ISNA(VLOOKUP("AH5",'素データ'!$P:$T,4,FALSE)),"",VLOOKUP("AH5",'素データ'!$P:$T,4,FALSE))</f>
      </c>
      <c r="AI12" s="417">
        <f t="shared" si="6"/>
      </c>
      <c r="AJ12" s="418">
        <f>IF(ISNA(VLOOKUP("AH5",'素データ'!$P:$T,5,FALSE)),"",VLOOKUP("AH5",'素データ'!$P:$T,5,FALSE))</f>
      </c>
      <c r="AK12" s="639"/>
      <c r="AL12" s="639"/>
      <c r="AM12" s="639"/>
      <c r="AN12" s="639"/>
      <c r="AO12" s="642"/>
      <c r="AP12" s="624"/>
      <c r="AQ12" s="624"/>
      <c r="AR12" s="630"/>
      <c r="AS12" s="456"/>
      <c r="AT12" s="17"/>
      <c r="AU12" s="636"/>
      <c r="AV12" s="633"/>
      <c r="AW12" s="627"/>
    </row>
    <row r="13" spans="1:49" ht="12.75" customHeight="1" thickBot="1">
      <c r="A13" s="604"/>
      <c r="C13" s="654"/>
      <c r="D13" s="657"/>
      <c r="E13" s="617"/>
      <c r="F13" s="618"/>
      <c r="G13" s="618"/>
      <c r="H13" s="619"/>
      <c r="I13" s="130">
        <f>IF(ISNA(VLOOKUP("AB6",'素データ'!$P:$R,3,FALSE)),"",VLOOKUP("AB6",'素データ'!$P:$R,3,FALSE))</f>
      </c>
      <c r="J13" s="130">
        <f>IF(ISNA(VLOOKUP("AB6",'素データ'!$P:$T,4,FALSE)),"",VLOOKUP("AB6",'素データ'!$P:$T,4,FALSE))</f>
      </c>
      <c r="K13" s="130">
        <f t="shared" si="0"/>
      </c>
      <c r="L13" s="130">
        <f>IF(ISNA(VLOOKUP("AB6",'素データ'!$P:$T,5,FALSE)),"",VLOOKUP("AB6",'素データ'!$P:$T,5,FALSE))</f>
      </c>
      <c r="M13" s="131">
        <f>IF(ISNA(VLOOKUP("AC6",'素データ'!$P:$R,3,FALSE)),"",VLOOKUP("AC6",'素データ'!$P:$R,3,FALSE))</f>
      </c>
      <c r="N13" s="130">
        <f>IF(ISNA(VLOOKUP("AC6",'素データ'!$P:$T,4,FALSE)),"",VLOOKUP("AC6",'素データ'!$P:$T,4,FALSE))</f>
      </c>
      <c r="O13" s="130">
        <f t="shared" si="1"/>
      </c>
      <c r="P13" s="132">
        <f>IF(ISNA(VLOOKUP("AC6",'素データ'!$P:$T,5,FALSE)),"",VLOOKUP("AC6",'素データ'!$P:$T,5,FALSE))</f>
      </c>
      <c r="Q13" s="130">
        <f>IF(ISNA(VLOOKUP("AD6",'素データ'!$P:$R,3,FALSE)),"",VLOOKUP("AD6",'素データ'!$P:$R,3,FALSE))</f>
      </c>
      <c r="R13" s="130">
        <f>IF(ISNA(VLOOKUP("AD6",'素データ'!$P:$T,4,FALSE)),"",VLOOKUP("AD6",'素データ'!$P:$T,4,FALSE))</f>
      </c>
      <c r="S13" s="130">
        <f t="shared" si="2"/>
      </c>
      <c r="T13" s="130">
        <f>IF(ISNA(VLOOKUP("AD6",'素データ'!$P:$T,5,FALSE)),"",VLOOKUP("AD6",'素データ'!$P:$T,5,FALSE))</f>
      </c>
      <c r="U13" s="131">
        <f>IF(ISNA(VLOOKUP("AE6",'素データ'!$P:$R,3,FALSE)),"",VLOOKUP("AE6",'素データ'!$P:$R,3,FALSE))</f>
      </c>
      <c r="V13" s="130">
        <f>IF(ISNA(VLOOKUP("AE6",'素データ'!$P:$T,4,FALSE)),"",VLOOKUP("AE6",'素データ'!$P:$T,4,FALSE))</f>
      </c>
      <c r="W13" s="130">
        <f t="shared" si="3"/>
      </c>
      <c r="X13" s="132">
        <f>IF(ISNA(VLOOKUP("AE6",'素データ'!$P:$T,5,FALSE)),"",VLOOKUP("AE6",'素データ'!$P:$T,5,FALSE))</f>
      </c>
      <c r="Y13" s="131">
        <f>IF(ISNA(VLOOKUP("AF6",'素データ'!$P:$R,3,FALSE)),"",VLOOKUP("AF6",'素データ'!$P:$R,3,FALSE))</f>
      </c>
      <c r="Z13" s="130">
        <f>IF(ISNA(VLOOKUP("AF6",'素データ'!$P:$T,4,FALSE)),"",VLOOKUP("AF6",'素データ'!$P:$T,4,FALSE))</f>
      </c>
      <c r="AA13" s="130">
        <f t="shared" si="4"/>
      </c>
      <c r="AB13" s="132">
        <f>IF(ISNA(VLOOKUP("AF6",'素データ'!$P:$T,5,FALSE)),"",VLOOKUP("AF6",'素データ'!$P:$T,5,FALSE))</f>
      </c>
      <c r="AC13" s="131">
        <f>IF(ISNA(VLOOKUP("AG6",'素データ'!$P:$R,3,FALSE)),"",VLOOKUP("AG6",'素データ'!$P:$R,3,FALSE))</f>
      </c>
      <c r="AD13" s="130">
        <f>IF(ISNA(VLOOKUP("AG6",'素データ'!$P:$T,4,FALSE)),"",VLOOKUP("AG6",'素データ'!$P:$T,4,FALSE))</f>
      </c>
      <c r="AE13" s="130">
        <f t="shared" si="5"/>
      </c>
      <c r="AF13" s="132">
        <f>IF(ISNA(VLOOKUP("AG6",'素データ'!$P:$T,5,FALSE)),"",VLOOKUP("AG6",'素データ'!$P:$T,5,FALSE))</f>
      </c>
      <c r="AG13" s="416">
        <f>IF(ISNA(VLOOKUP("AH6",'素データ'!$P:$R,3,FALSE)),"",VLOOKUP("AH6",'素データ'!$P:$R,3,FALSE))</f>
      </c>
      <c r="AH13" s="417">
        <f>IF(ISNA(VLOOKUP("AH6",'素データ'!$P:$T,4,FALSE)),"",VLOOKUP("AH6",'素データ'!$P:$T,4,FALSE))</f>
      </c>
      <c r="AI13" s="417">
        <f t="shared" si="6"/>
      </c>
      <c r="AJ13" s="418">
        <f>IF(ISNA(VLOOKUP("AH6",'素データ'!$P:$T,5,FALSE)),"",VLOOKUP("AH6",'素データ'!$P:$T,5,FALSE))</f>
      </c>
      <c r="AK13" s="640"/>
      <c r="AL13" s="640"/>
      <c r="AM13" s="640"/>
      <c r="AN13" s="640"/>
      <c r="AO13" s="643"/>
      <c r="AP13" s="625"/>
      <c r="AQ13" s="625"/>
      <c r="AR13" s="631"/>
      <c r="AS13" s="456"/>
      <c r="AT13" s="17"/>
      <c r="AU13" s="637"/>
      <c r="AV13" s="634"/>
      <c r="AW13" s="628"/>
    </row>
    <row r="14" spans="1:49" ht="12.75" customHeight="1">
      <c r="A14" s="604">
        <f>AO14+(AL14-AM14)/100000+0.000006</f>
        <v>0.889146</v>
      </c>
      <c r="C14" s="652" t="str">
        <f>'素データ'!Y8</f>
        <v>B</v>
      </c>
      <c r="D14" s="655" t="str">
        <f>VLOOKUP(C14,'素データ'!Y7:Z14,2,FALSE)</f>
        <v>サンデーズＪｒＡ</v>
      </c>
      <c r="E14" s="44" t="str">
        <f>IF(I8="","",VLOOKUP(I8,'素データ'!$Z$21:$AA$23,2,FALSE))</f>
        <v>○</v>
      </c>
      <c r="F14" s="47">
        <f aca="true" t="shared" si="7" ref="F14:F19">L8</f>
        <v>6</v>
      </c>
      <c r="G14" s="47" t="str">
        <f aca="true" t="shared" si="8" ref="G14:G25">IF(E14="","","－")</f>
        <v>－</v>
      </c>
      <c r="H14" s="48">
        <f aca="true" t="shared" si="9" ref="H14:H19">J8</f>
        <v>3</v>
      </c>
      <c r="I14" s="606" t="s">
        <v>479</v>
      </c>
      <c r="J14" s="606"/>
      <c r="K14" s="606"/>
      <c r="L14" s="606"/>
      <c r="M14" s="509" t="str">
        <f>IF(ISNA(VLOOKUP("BC1",'素データ'!$P:$R,3,FALSE)),"",VLOOKUP("BC1",'素データ'!$P:$R,3,FALSE))</f>
        <v>○</v>
      </c>
      <c r="N14" s="510">
        <f>IF(ISNA(VLOOKUP("BC1",'素データ'!$P:$T,4,FALSE)),"",VLOOKUP("BC1",'素データ'!$P:$T,4,FALSE))</f>
        <v>9</v>
      </c>
      <c r="O14" s="510" t="str">
        <f aca="true" t="shared" si="10" ref="O14:O19">IF(M14="","","－")</f>
        <v>－</v>
      </c>
      <c r="P14" s="511">
        <f>IF(ISNA(VLOOKUP("BC1",'素データ'!$P:$T,5,FALSE)),"",VLOOKUP("BC1",'素データ'!$P:$T,5,FALSE))</f>
        <v>1</v>
      </c>
      <c r="Q14" s="510" t="str">
        <f>IF(ISNA(VLOOKUP("BD1",'素データ'!$P:$R,3,FALSE)),"",VLOOKUP("BD1",'素データ'!$P:$R,3,FALSE))</f>
        <v>○</v>
      </c>
      <c r="R14" s="510">
        <f>IF(ISNA(VLOOKUP("BD1",'素データ'!$P:$T,4,FALSE)),"",VLOOKUP("BD1",'素データ'!$P:$T,4,FALSE))</f>
        <v>11</v>
      </c>
      <c r="S14" s="510" t="str">
        <f t="shared" si="2"/>
        <v>－</v>
      </c>
      <c r="T14" s="510">
        <f>IF(ISNA(VLOOKUP("BD1",'素データ'!$P:$T,5,FALSE)),"",VLOOKUP("BD1",'素データ'!$P:$T,5,FALSE))</f>
        <v>2</v>
      </c>
      <c r="U14" s="509" t="str">
        <f>IF(ISNA(VLOOKUP("BE1",'素データ'!$P:$R,3,FALSE)),"",VLOOKUP("BE1",'素データ'!$P:$R,3,FALSE))</f>
        <v>○</v>
      </c>
      <c r="V14" s="510">
        <f>IF(ISNA(VLOOKUP("BE1",'素データ'!$P:$T,4,FALSE)),"",VLOOKUP("BE1",'素データ'!$P:$T,4,FALSE))</f>
        <v>12</v>
      </c>
      <c r="W14" s="510" t="str">
        <f t="shared" si="3"/>
        <v>－</v>
      </c>
      <c r="X14" s="511">
        <f>IF(ISNA(VLOOKUP("BE1",'素データ'!$P:$T,5,FALSE)),"",VLOOKUP("BE1",'素データ'!$P:$T,5,FALSE))</f>
        <v>1</v>
      </c>
      <c r="Y14" s="509" t="str">
        <f>IF(ISNA(VLOOKUP("BF1",'素データ'!$P:$R,3,FALSE)),"",VLOOKUP("BF1",'素データ'!$P:$R,3,FALSE))</f>
        <v>○</v>
      </c>
      <c r="Z14" s="510">
        <f>IF(ISNA(VLOOKUP("BF1",'素データ'!$P:$T,4,FALSE)),"",VLOOKUP("BF1",'素データ'!$P:$T,4,FALSE))</f>
        <v>19</v>
      </c>
      <c r="AA14" s="510" t="str">
        <f t="shared" si="4"/>
        <v>－</v>
      </c>
      <c r="AB14" s="511">
        <f>IF(ISNA(VLOOKUP("BF1",'素データ'!$P:$T,5,FALSE)),"",VLOOKUP("BF1",'素データ'!$P:$T,5,FALSE))</f>
        <v>1</v>
      </c>
      <c r="AC14" s="128" t="str">
        <f>IF(ISNA(VLOOKUP("BG1",'素データ'!$P:$R,3,FALSE)),"",VLOOKUP("BG1",'素データ'!$P:$R,3,FALSE))</f>
        <v>○</v>
      </c>
      <c r="AD14" s="127">
        <f>IF(ISNA(VLOOKUP("BG1",'素データ'!$P:$T,4,FALSE)),"",VLOOKUP("BG1",'素データ'!$P:$T,4,FALSE))</f>
        <v>20</v>
      </c>
      <c r="AE14" s="127" t="str">
        <f t="shared" si="5"/>
        <v>－</v>
      </c>
      <c r="AF14" s="129">
        <f>IF(ISNA(VLOOKUP("BG1",'素データ'!$P:$T,5,FALSE)),"",VLOOKUP("BG1",'素データ'!$P:$T,5,FALSE))</f>
        <v>0</v>
      </c>
      <c r="AG14" s="413">
        <f>IF(ISNA(VLOOKUP("BH1",'素データ'!$P:$R,3,FALSE)),"",VLOOKUP("BH1",'素データ'!$P:$R,3,FALSE))</f>
      </c>
      <c r="AH14" s="414">
        <f>IF(ISNA(VLOOKUP("BH1",'素データ'!$P:$T,4,FALSE)),"",VLOOKUP("BH1",'素データ'!$P:$T,4,FALSE))</f>
      </c>
      <c r="AI14" s="414">
        <f t="shared" si="6"/>
      </c>
      <c r="AJ14" s="415">
        <f>IF(ISNA(VLOOKUP("BH1",'素データ'!$P:$T,5,FALSE)),"",VLOOKUP("BH1",'素データ'!$P:$T,5,FALSE))</f>
      </c>
      <c r="AK14" s="638">
        <f>SUM(AL14:AN14)</f>
        <v>18</v>
      </c>
      <c r="AL14" s="638">
        <f>COUNTIF(E14:AG19,"○")</f>
        <v>16</v>
      </c>
      <c r="AM14" s="638">
        <f>COUNTIF(E14:AG19,"●")</f>
        <v>2</v>
      </c>
      <c r="AN14" s="638">
        <f>COUNTIF(E14:AG19,"△")</f>
        <v>0</v>
      </c>
      <c r="AO14" s="641">
        <f>ROUND(AL14/(AL14+AM14),3)</f>
        <v>0.889</v>
      </c>
      <c r="AP14" s="623">
        <f>SUM(F14:F19)+SUM(N14:N19)+SUM(R14:R19)+SUM(V14:V19)+SUM(Z14:Z19)+SUM(AD14:AD19)+SUM(AH14:AH19)</f>
        <v>224</v>
      </c>
      <c r="AQ14" s="623">
        <f>SUM(H14:H19)+SUM(P14:P19)+SUM(T14:T19)+SUM(X14:X19)+SUM(AB14:AB19)+SUM(AF14:AF19)+SUM(AJ14:AJ19)</f>
        <v>39</v>
      </c>
      <c r="AR14" s="629">
        <f>RANK(AO14,$AO$8:$AO$49,0)</f>
        <v>1</v>
      </c>
      <c r="AS14" s="456"/>
      <c r="AT14" s="17"/>
      <c r="AU14" s="635" t="str">
        <f>IF(AL14=((DCOUNTA('素データ'!$F$5:$L$69,"試合結果",criteria!B13:H14))+(DCOUNTA('素データ'!$F$5:$L$69,"試合結果",criteria!B15:H16))),"OK","NG")</f>
        <v>OK</v>
      </c>
      <c r="AV14" s="632" t="str">
        <f>IF(AM14=((DCOUNTA('素データ'!$F$5:$L$69,"試合結果",criteria!B17:H18))+(DCOUNTA('素データ'!$F$5:$L$69,"試合結果",criteria!B19:H20))),"OK","NG")</f>
        <v>OK</v>
      </c>
      <c r="AW14" s="626" t="str">
        <f>IF(AN14=((DCOUNTA('素データ'!$F$5:$L$69,"試合結果",criteria!B21:H22))+(DCOUNTA('素データ'!$F$5:$L$69,"試合結果",criteria!B23:H24))),"OK","NG")</f>
        <v>OK</v>
      </c>
    </row>
    <row r="15" spans="1:49" ht="12.75" customHeight="1">
      <c r="A15" s="604"/>
      <c r="C15" s="653"/>
      <c r="D15" s="656"/>
      <c r="E15" s="49" t="str">
        <f>IF(I9="","",VLOOKUP(I9,'素データ'!$Z$21:$AA$23,2,FALSE))</f>
        <v>●</v>
      </c>
      <c r="F15" s="50">
        <f t="shared" si="7"/>
        <v>2</v>
      </c>
      <c r="G15" s="50" t="str">
        <f t="shared" si="8"/>
        <v>－</v>
      </c>
      <c r="H15" s="52">
        <f t="shared" si="9"/>
        <v>5</v>
      </c>
      <c r="I15" s="609"/>
      <c r="J15" s="609"/>
      <c r="K15" s="609"/>
      <c r="L15" s="609"/>
      <c r="M15" s="512" t="str">
        <f>IF(ISNA(VLOOKUP("BC2",'素データ'!$P:$R,3,FALSE)),"",VLOOKUP("BC2",'素データ'!$P:$R,3,FALSE))</f>
        <v>○</v>
      </c>
      <c r="N15" s="513">
        <f>IF(ISNA(VLOOKUP("BC2",'素データ'!$P:$T,4,FALSE)),"",VLOOKUP("BC2",'素データ'!$P:$T,4,FALSE))</f>
        <v>7</v>
      </c>
      <c r="O15" s="513" t="str">
        <f t="shared" si="10"/>
        <v>－</v>
      </c>
      <c r="P15" s="514">
        <f>IF(ISNA(VLOOKUP("BC2",'素データ'!$P:$T,5,FALSE)),"",VLOOKUP("BC2",'素データ'!$P:$T,5,FALSE))</f>
        <v>5</v>
      </c>
      <c r="Q15" s="513" t="str">
        <f>IF(ISNA(VLOOKUP("BD2",'素データ'!$P:$R,3,FALSE)),"",VLOOKUP("BD2",'素データ'!$P:$R,3,FALSE))</f>
        <v>○</v>
      </c>
      <c r="R15" s="513">
        <f>IF(ISNA(VLOOKUP("BD2",'素データ'!$P:$T,4,FALSE)),"",VLOOKUP("BD2",'素データ'!$P:$T,4,FALSE))</f>
        <v>12</v>
      </c>
      <c r="S15" s="513" t="str">
        <f t="shared" si="2"/>
        <v>－</v>
      </c>
      <c r="T15" s="513">
        <f>IF(ISNA(VLOOKUP("BD2",'素データ'!$P:$T,5,FALSE)),"",VLOOKUP("BD2",'素データ'!$P:$T,5,FALSE))</f>
        <v>3</v>
      </c>
      <c r="U15" s="512" t="str">
        <f>IF(ISNA(VLOOKUP("BE2",'素データ'!$P:$R,3,FALSE)),"",VLOOKUP("BE2",'素データ'!$P:$R,3,FALSE))</f>
        <v>○</v>
      </c>
      <c r="V15" s="513">
        <f>IF(ISNA(VLOOKUP("BE2",'素データ'!$P:$T,4,FALSE)),"",VLOOKUP("BE2",'素データ'!$P:$T,4,FALSE))</f>
        <v>5</v>
      </c>
      <c r="W15" s="513" t="str">
        <f t="shared" si="3"/>
        <v>－</v>
      </c>
      <c r="X15" s="514">
        <f>IF(ISNA(VLOOKUP("BE2",'素データ'!$P:$T,5,FALSE)),"",VLOOKUP("BE2",'素データ'!$P:$T,5,FALSE))</f>
        <v>2</v>
      </c>
      <c r="Y15" s="512" t="str">
        <f>IF(ISNA(VLOOKUP("BF2",'素データ'!$P:$R,3,FALSE)),"",VLOOKUP("BF2",'素データ'!$P:$R,3,FALSE))</f>
        <v>○</v>
      </c>
      <c r="Z15" s="513">
        <f>IF(ISNA(VLOOKUP("BF2",'素データ'!$P:$T,4,FALSE)),"",VLOOKUP("BF2",'素データ'!$P:$T,4,FALSE))</f>
        <v>15</v>
      </c>
      <c r="AA15" s="513" t="str">
        <f t="shared" si="4"/>
        <v>－</v>
      </c>
      <c r="AB15" s="514">
        <f>IF(ISNA(VLOOKUP("BF2",'素データ'!$P:$T,5,FALSE)),"",VLOOKUP("BF2",'素データ'!$P:$T,5,FALSE))</f>
        <v>0</v>
      </c>
      <c r="AC15" s="131" t="str">
        <f>IF(ISNA(VLOOKUP("BG2",'素データ'!$P:$R,3,FALSE)),"",VLOOKUP("BG2",'素データ'!$P:$R,3,FALSE))</f>
        <v>○</v>
      </c>
      <c r="AD15" s="130">
        <f>IF(ISNA(VLOOKUP("BG2",'素データ'!$P:$T,4,FALSE)),"",VLOOKUP("BG2",'素データ'!$P:$T,4,FALSE))</f>
        <v>26</v>
      </c>
      <c r="AE15" s="130" t="str">
        <f t="shared" si="5"/>
        <v>－</v>
      </c>
      <c r="AF15" s="132">
        <f>IF(ISNA(VLOOKUP("BG2",'素データ'!$P:$T,5,FALSE)),"",VLOOKUP("BG2",'素データ'!$P:$T,5,FALSE))</f>
        <v>0</v>
      </c>
      <c r="AG15" s="416">
        <f>IF(ISNA(VLOOKUP("BH2",'素データ'!$P:$R,3,FALSE)),"",VLOOKUP("BH2",'素データ'!$P:$R,3,FALSE))</f>
      </c>
      <c r="AH15" s="417">
        <f>IF(ISNA(VLOOKUP("BH2",'素データ'!$P:$T,4,FALSE)),"",VLOOKUP("BH2",'素データ'!$P:$T,4,FALSE))</f>
      </c>
      <c r="AI15" s="417">
        <f t="shared" si="6"/>
      </c>
      <c r="AJ15" s="418">
        <f>IF(ISNA(VLOOKUP("BH2",'素データ'!$P:$T,5,FALSE)),"",VLOOKUP("BH2",'素データ'!$P:$T,5,FALSE))</f>
      </c>
      <c r="AK15" s="639"/>
      <c r="AL15" s="639"/>
      <c r="AM15" s="639"/>
      <c r="AN15" s="639"/>
      <c r="AO15" s="642"/>
      <c r="AP15" s="624"/>
      <c r="AQ15" s="624"/>
      <c r="AR15" s="630"/>
      <c r="AS15" s="456"/>
      <c r="AT15" s="17"/>
      <c r="AU15" s="636"/>
      <c r="AV15" s="633"/>
      <c r="AW15" s="627"/>
    </row>
    <row r="16" spans="1:49" ht="12.75" customHeight="1">
      <c r="A16" s="604"/>
      <c r="C16" s="653"/>
      <c r="D16" s="656"/>
      <c r="E16" s="49" t="str">
        <f>IF(I10="","",VLOOKUP(I10,'素データ'!$Z$21:$AA$23,2,FALSE))</f>
        <v>●</v>
      </c>
      <c r="F16" s="50">
        <f t="shared" si="7"/>
        <v>3</v>
      </c>
      <c r="G16" s="50" t="str">
        <f t="shared" si="8"/>
        <v>－</v>
      </c>
      <c r="H16" s="52">
        <f t="shared" si="9"/>
        <v>7</v>
      </c>
      <c r="I16" s="609"/>
      <c r="J16" s="609"/>
      <c r="K16" s="609"/>
      <c r="L16" s="609"/>
      <c r="M16" s="512" t="str">
        <f>IF(ISNA(VLOOKUP("BC3",'素データ'!$P:$R,3,FALSE)),"",VLOOKUP("BC3",'素データ'!$P:$R,3,FALSE))</f>
        <v>○</v>
      </c>
      <c r="N16" s="513">
        <f>IF(ISNA(VLOOKUP("BC3",'素データ'!$P:$T,4,FALSE)),"",VLOOKUP("BC3",'素データ'!$P:$T,4,FALSE))</f>
        <v>13</v>
      </c>
      <c r="O16" s="513" t="str">
        <f t="shared" si="10"/>
        <v>－</v>
      </c>
      <c r="P16" s="514">
        <f>IF(ISNA(VLOOKUP("BC3",'素データ'!$P:$T,5,FALSE)),"",VLOOKUP("BC3",'素データ'!$P:$T,5,FALSE))</f>
        <v>1</v>
      </c>
      <c r="Q16" s="513" t="str">
        <f>IF(ISNA(VLOOKUP("BD3",'素データ'!$P:$R,3,FALSE)),"",VLOOKUP("BD3",'素データ'!$P:$R,3,FALSE))</f>
        <v>○</v>
      </c>
      <c r="R16" s="513">
        <f>IF(ISNA(VLOOKUP("BD3",'素データ'!$P:$T,4,FALSE)),"",VLOOKUP("BD3",'素データ'!$P:$T,4,FALSE))</f>
        <v>6</v>
      </c>
      <c r="S16" s="513" t="str">
        <f t="shared" si="2"/>
        <v>－</v>
      </c>
      <c r="T16" s="513">
        <f>IF(ISNA(VLOOKUP("BD3",'素データ'!$P:$T,5,FALSE)),"",VLOOKUP("BD3",'素データ'!$P:$T,5,FALSE))</f>
        <v>0</v>
      </c>
      <c r="U16" s="512" t="str">
        <f>IF(ISNA(VLOOKUP("BE3",'素データ'!$P:$R,3,FALSE)),"",VLOOKUP("BE3",'素データ'!$P:$R,3,FALSE))</f>
        <v>○</v>
      </c>
      <c r="V16" s="513">
        <f>IF(ISNA(VLOOKUP("BE3",'素データ'!$P:$T,4,FALSE)),"",VLOOKUP("BE3",'素データ'!$P:$T,4,FALSE))</f>
        <v>12</v>
      </c>
      <c r="W16" s="513" t="str">
        <f t="shared" si="3"/>
        <v>－</v>
      </c>
      <c r="X16" s="514">
        <f>IF(ISNA(VLOOKUP("BE3",'素データ'!$P:$T,5,FALSE)),"",VLOOKUP("BE3",'素データ'!$P:$T,5,FALSE))</f>
        <v>5</v>
      </c>
      <c r="Y16" s="512" t="str">
        <f>IF(ISNA(VLOOKUP("BF3",'素データ'!$P:$R,3,FALSE)),"",VLOOKUP("BF3",'素データ'!$P:$R,3,FALSE))</f>
        <v>○</v>
      </c>
      <c r="Z16" s="513">
        <f>IF(ISNA(VLOOKUP("BF3",'素データ'!$P:$T,4,FALSE)),"",VLOOKUP("BF3",'素データ'!$P:$T,4,FALSE))</f>
        <v>20</v>
      </c>
      <c r="AA16" s="513" t="str">
        <f t="shared" si="4"/>
        <v>－</v>
      </c>
      <c r="AB16" s="514">
        <f>IF(ISNA(VLOOKUP("BF3",'素データ'!$P:$T,5,FALSE)),"",VLOOKUP("BF3",'素データ'!$P:$T,5,FALSE))</f>
        <v>2</v>
      </c>
      <c r="AC16" s="131" t="str">
        <f>IF(ISNA(VLOOKUP("BG3",'素データ'!$P:$R,3,FALSE)),"",VLOOKUP("BG3",'素データ'!$P:$R,3,FALSE))</f>
        <v>○</v>
      </c>
      <c r="AD16" s="130">
        <f>IF(ISNA(VLOOKUP("BG3",'素データ'!$P:$T,4,FALSE)),"",VLOOKUP("BG3",'素データ'!$P:$T,4,FALSE))</f>
        <v>26</v>
      </c>
      <c r="AE16" s="130" t="str">
        <f t="shared" si="5"/>
        <v>－</v>
      </c>
      <c r="AF16" s="132">
        <f>IF(ISNA(VLOOKUP("BG3",'素データ'!$P:$T,5,FALSE)),"",VLOOKUP("BG3",'素データ'!$P:$T,5,FALSE))</f>
        <v>1</v>
      </c>
      <c r="AG16" s="416">
        <f>IF(ISNA(VLOOKUP("BH3",'素データ'!$P:$R,3,FALSE)),"",VLOOKUP("BH3",'素データ'!$P:$R,3,FALSE))</f>
      </c>
      <c r="AH16" s="417">
        <f>IF(ISNA(VLOOKUP("BH3",'素データ'!$P:$T,4,FALSE)),"",VLOOKUP("BH3",'素データ'!$P:$T,4,FALSE))</f>
      </c>
      <c r="AI16" s="417">
        <f t="shared" si="6"/>
      </c>
      <c r="AJ16" s="418">
        <f>IF(ISNA(VLOOKUP("BH3",'素データ'!$P:$T,5,FALSE)),"",VLOOKUP("BH3",'素データ'!$P:$T,5,FALSE))</f>
      </c>
      <c r="AK16" s="639"/>
      <c r="AL16" s="639"/>
      <c r="AM16" s="639"/>
      <c r="AN16" s="639"/>
      <c r="AO16" s="642"/>
      <c r="AP16" s="624"/>
      <c r="AQ16" s="624"/>
      <c r="AR16" s="630"/>
      <c r="AS16" s="456"/>
      <c r="AT16" s="17"/>
      <c r="AU16" s="636"/>
      <c r="AV16" s="633"/>
      <c r="AW16" s="627"/>
    </row>
    <row r="17" spans="1:49" ht="12.75" customHeight="1">
      <c r="A17" s="604"/>
      <c r="C17" s="653"/>
      <c r="D17" s="656"/>
      <c r="E17" s="49">
        <f>IF(I11="","",VLOOKUP(I11,'素データ'!$Z$21:$AA$23,2,FALSE))</f>
      </c>
      <c r="F17" s="50">
        <f t="shared" si="7"/>
      </c>
      <c r="G17" s="50">
        <f t="shared" si="8"/>
      </c>
      <c r="H17" s="52">
        <f t="shared" si="9"/>
      </c>
      <c r="I17" s="609"/>
      <c r="J17" s="609"/>
      <c r="K17" s="609"/>
      <c r="L17" s="609"/>
      <c r="M17" s="512">
        <f>IF(ISNA(VLOOKUP("BC4",'素データ'!$P:$R,3,FALSE)),"",VLOOKUP("BC4",'素データ'!$P:$R,3,FALSE))</f>
      </c>
      <c r="N17" s="513">
        <f>IF(ISNA(VLOOKUP("BC4",'素データ'!$P:$T,4,FALSE)),"",VLOOKUP("BC4",'素データ'!$P:$T,4,FALSE))</f>
      </c>
      <c r="O17" s="513">
        <f t="shared" si="10"/>
      </c>
      <c r="P17" s="514">
        <f>IF(ISNA(VLOOKUP("BC4",'素データ'!$P:$T,5,FALSE)),"",VLOOKUP("BC4",'素データ'!$P:$T,5,FALSE))</f>
      </c>
      <c r="Q17" s="513">
        <f>IF(ISNA(VLOOKUP("BD4",'素データ'!$P:$R,3,FALSE)),"",VLOOKUP("BD4",'素データ'!$P:$R,3,FALSE))</f>
      </c>
      <c r="R17" s="513">
        <f>IF(ISNA(VLOOKUP("BD4",'素データ'!$P:$T,4,FALSE)),"",VLOOKUP("BD4",'素データ'!$P:$T,4,FALSE))</f>
      </c>
      <c r="S17" s="513">
        <f t="shared" si="2"/>
      </c>
      <c r="T17" s="513">
        <f>IF(ISNA(VLOOKUP("BD4",'素データ'!$P:$T,5,FALSE)),"",VLOOKUP("BD4",'素データ'!$P:$T,5,FALSE))</f>
      </c>
      <c r="U17" s="512">
        <f>IF(ISNA(VLOOKUP("BE4",'素データ'!$P:$R,3,FALSE)),"",VLOOKUP("BE4",'素データ'!$P:$R,3,FALSE))</f>
      </c>
      <c r="V17" s="513">
        <f>IF(ISNA(VLOOKUP("BE4",'素データ'!$P:$T,4,FALSE)),"",VLOOKUP("BE4",'素データ'!$P:$T,4,FALSE))</f>
      </c>
      <c r="W17" s="513">
        <f t="shared" si="3"/>
      </c>
      <c r="X17" s="514">
        <f>IF(ISNA(VLOOKUP("BE4",'素データ'!$P:$T,5,FALSE)),"",VLOOKUP("BE4",'素データ'!$P:$T,5,FALSE))</f>
      </c>
      <c r="Y17" s="512">
        <f>IF(ISNA(VLOOKUP("BF4",'素データ'!$P:$R,3,FALSE)),"",VLOOKUP("BF4",'素データ'!$P:$R,3,FALSE))</f>
      </c>
      <c r="Z17" s="513">
        <f>IF(ISNA(VLOOKUP("BF4",'素データ'!$P:$T,4,FALSE)),"",VLOOKUP("BF4",'素データ'!$P:$T,4,FALSE))</f>
      </c>
      <c r="AA17" s="513">
        <f t="shared" si="4"/>
      </c>
      <c r="AB17" s="514">
        <f>IF(ISNA(VLOOKUP("BF4",'素データ'!$P:$T,5,FALSE)),"",VLOOKUP("BF4",'素データ'!$P:$T,5,FALSE))</f>
      </c>
      <c r="AC17" s="131">
        <f>IF(ISNA(VLOOKUP("BG4",'素データ'!$P:$R,3,FALSE)),"",VLOOKUP("BG4",'素データ'!$P:$R,3,FALSE))</f>
      </c>
      <c r="AD17" s="130">
        <f>IF(ISNA(VLOOKUP("BG4",'素データ'!$P:$T,4,FALSE)),"",VLOOKUP("BG4",'素データ'!$P:$T,4,FALSE))</f>
      </c>
      <c r="AE17" s="130">
        <f t="shared" si="5"/>
      </c>
      <c r="AF17" s="132">
        <f>IF(ISNA(VLOOKUP("BG4",'素データ'!$P:$T,5,FALSE)),"",VLOOKUP("BG4",'素データ'!$P:$T,5,FALSE))</f>
      </c>
      <c r="AG17" s="416">
        <f>IF(ISNA(VLOOKUP("BH4",'素データ'!$P:$R,3,FALSE)),"",VLOOKUP("BH4",'素データ'!$P:$R,3,FALSE))</f>
      </c>
      <c r="AH17" s="417">
        <f>IF(ISNA(VLOOKUP("BH4",'素データ'!$P:$T,4,FALSE)),"",VLOOKUP("BH4",'素データ'!$P:$T,4,FALSE))</f>
      </c>
      <c r="AI17" s="417">
        <f t="shared" si="6"/>
      </c>
      <c r="AJ17" s="418">
        <f>IF(ISNA(VLOOKUP("BH4",'素データ'!$P:$T,5,FALSE)),"",VLOOKUP("BH4",'素データ'!$P:$T,5,FALSE))</f>
      </c>
      <c r="AK17" s="639"/>
      <c r="AL17" s="639"/>
      <c r="AM17" s="639"/>
      <c r="AN17" s="639"/>
      <c r="AO17" s="642"/>
      <c r="AP17" s="624"/>
      <c r="AQ17" s="624"/>
      <c r="AR17" s="630"/>
      <c r="AS17" s="456"/>
      <c r="AT17" s="17"/>
      <c r="AU17" s="636"/>
      <c r="AV17" s="633"/>
      <c r="AW17" s="627"/>
    </row>
    <row r="18" spans="1:49" ht="12.75" customHeight="1">
      <c r="A18" s="604"/>
      <c r="C18" s="653"/>
      <c r="D18" s="656"/>
      <c r="E18" s="49">
        <f>IF(I12="","",VLOOKUP(I12,'素データ'!$Z$21:$AA$23,2,FALSE))</f>
      </c>
      <c r="F18" s="50">
        <f t="shared" si="7"/>
      </c>
      <c r="G18" s="50">
        <f t="shared" si="8"/>
      </c>
      <c r="H18" s="52">
        <f t="shared" si="9"/>
      </c>
      <c r="I18" s="609"/>
      <c r="J18" s="609"/>
      <c r="K18" s="609"/>
      <c r="L18" s="609"/>
      <c r="M18" s="512">
        <f>IF(ISNA(VLOOKUP("BC5",'素データ'!$P:$R,3,FALSE)),"",VLOOKUP("BC5",'素データ'!$P:$R,3,FALSE))</f>
      </c>
      <c r="N18" s="513">
        <f>IF(ISNA(VLOOKUP("BC5",'素データ'!$P:$T,4,FALSE)),"",VLOOKUP("BC5",'素データ'!$P:$T,4,FALSE))</f>
      </c>
      <c r="O18" s="513">
        <f t="shared" si="10"/>
      </c>
      <c r="P18" s="514">
        <f>IF(ISNA(VLOOKUP("BC5",'素データ'!$P:$T,5,FALSE)),"",VLOOKUP("BC5",'素データ'!$P:$T,5,FALSE))</f>
      </c>
      <c r="Q18" s="513">
        <f>IF(ISNA(VLOOKUP("BD5",'素データ'!$P:$R,3,FALSE)),"",VLOOKUP("BD5",'素データ'!$P:$R,3,FALSE))</f>
      </c>
      <c r="R18" s="513">
        <f>IF(ISNA(VLOOKUP("BD5",'素データ'!$P:$T,4,FALSE)),"",VLOOKUP("BD5",'素データ'!$P:$T,4,FALSE))</f>
      </c>
      <c r="S18" s="513">
        <f t="shared" si="2"/>
      </c>
      <c r="T18" s="513">
        <f>IF(ISNA(VLOOKUP("BD5",'素データ'!$P:$T,5,FALSE)),"",VLOOKUP("BD5",'素データ'!$P:$T,5,FALSE))</f>
      </c>
      <c r="U18" s="512">
        <f>IF(ISNA(VLOOKUP("BE5",'素データ'!$P:$R,3,FALSE)),"",VLOOKUP("BE5",'素データ'!$P:$R,3,FALSE))</f>
      </c>
      <c r="V18" s="513">
        <f>IF(ISNA(VLOOKUP("BE5",'素データ'!$P:$T,4,FALSE)),"",VLOOKUP("BE5",'素データ'!$P:$T,4,FALSE))</f>
      </c>
      <c r="W18" s="513">
        <f t="shared" si="3"/>
      </c>
      <c r="X18" s="514">
        <f>IF(ISNA(VLOOKUP("BE5",'素データ'!$P:$T,5,FALSE)),"",VLOOKUP("BE5",'素データ'!$P:$T,5,FALSE))</f>
      </c>
      <c r="Y18" s="512">
        <f>IF(ISNA(VLOOKUP("BF5",'素データ'!$P:$R,3,FALSE)),"",VLOOKUP("BF5",'素データ'!$P:$R,3,FALSE))</f>
      </c>
      <c r="Z18" s="513">
        <f>IF(ISNA(VLOOKUP("BF5",'素データ'!$P:$T,4,FALSE)),"",VLOOKUP("BF5",'素データ'!$P:$T,4,FALSE))</f>
      </c>
      <c r="AA18" s="513">
        <f t="shared" si="4"/>
      </c>
      <c r="AB18" s="514">
        <f>IF(ISNA(VLOOKUP("BF5",'素データ'!$P:$T,5,FALSE)),"",VLOOKUP("BF5",'素データ'!$P:$T,5,FALSE))</f>
      </c>
      <c r="AC18" s="131">
        <f>IF(ISNA(VLOOKUP("BG5",'素データ'!$P:$R,3,FALSE)),"",VLOOKUP("BG5",'素データ'!$P:$R,3,FALSE))</f>
      </c>
      <c r="AD18" s="130">
        <f>IF(ISNA(VLOOKUP("BG5",'素データ'!$P:$T,4,FALSE)),"",VLOOKUP("BG5",'素データ'!$P:$T,4,FALSE))</f>
      </c>
      <c r="AE18" s="130">
        <f t="shared" si="5"/>
      </c>
      <c r="AF18" s="132">
        <f>IF(ISNA(VLOOKUP("BG5",'素データ'!$P:$T,5,FALSE)),"",VLOOKUP("BG5",'素データ'!$P:$T,5,FALSE))</f>
      </c>
      <c r="AG18" s="416">
        <f>IF(ISNA(VLOOKUP("BH5",'素データ'!$P:$R,3,FALSE)),"",VLOOKUP("BH5",'素データ'!$P:$R,3,FALSE))</f>
      </c>
      <c r="AH18" s="417">
        <f>IF(ISNA(VLOOKUP("BH5",'素データ'!$P:$T,4,FALSE)),"",VLOOKUP("BH5",'素データ'!$P:$T,4,FALSE))</f>
      </c>
      <c r="AI18" s="417">
        <f t="shared" si="6"/>
      </c>
      <c r="AJ18" s="418">
        <f>IF(ISNA(VLOOKUP("BH5",'素データ'!$P:$T,5,FALSE)),"",VLOOKUP("BH5",'素データ'!$P:$T,5,FALSE))</f>
      </c>
      <c r="AK18" s="639"/>
      <c r="AL18" s="639"/>
      <c r="AM18" s="639"/>
      <c r="AN18" s="639"/>
      <c r="AO18" s="642"/>
      <c r="AP18" s="624"/>
      <c r="AQ18" s="624"/>
      <c r="AR18" s="630"/>
      <c r="AS18" s="456"/>
      <c r="AT18" s="17"/>
      <c r="AU18" s="636"/>
      <c r="AV18" s="633"/>
      <c r="AW18" s="627"/>
    </row>
    <row r="19" spans="1:49" ht="12.75" customHeight="1" thickBot="1">
      <c r="A19" s="604"/>
      <c r="C19" s="654"/>
      <c r="D19" s="657"/>
      <c r="E19" s="45">
        <f>IF(I13="","",VLOOKUP(I13,'素データ'!$Z$21:$AA$23,2,FALSE))</f>
      </c>
      <c r="F19" s="51">
        <f t="shared" si="7"/>
      </c>
      <c r="G19" s="51">
        <f t="shared" si="8"/>
      </c>
      <c r="H19" s="53">
        <f t="shared" si="9"/>
      </c>
      <c r="I19" s="612"/>
      <c r="J19" s="612"/>
      <c r="K19" s="612"/>
      <c r="L19" s="612"/>
      <c r="M19" s="515">
        <f>IF(ISNA(VLOOKUP("BC6",'素データ'!$P:$R,3,FALSE)),"",VLOOKUP("BC6",'素データ'!$P:$R,3,FALSE))</f>
      </c>
      <c r="N19" s="516">
        <f>IF(ISNA(VLOOKUP("BC6",'素データ'!$P:$T,4,FALSE)),"",VLOOKUP("BC6",'素データ'!$P:$T,4,FALSE))</f>
      </c>
      <c r="O19" s="516">
        <f t="shared" si="10"/>
      </c>
      <c r="P19" s="517">
        <f>IF(ISNA(VLOOKUP("BC6",'素データ'!$P:$T,5,FALSE)),"",VLOOKUP("BC6",'素データ'!$P:$T,5,FALSE))</f>
      </c>
      <c r="Q19" s="516">
        <f>IF(ISNA(VLOOKUP("BD6",'素データ'!$P:$R,3,FALSE)),"",VLOOKUP("BD6",'素データ'!$P:$R,3,FALSE))</f>
      </c>
      <c r="R19" s="516">
        <f>IF(ISNA(VLOOKUP("BD6",'素データ'!$P:$T,4,FALSE)),"",VLOOKUP("BD6",'素データ'!$P:$T,4,FALSE))</f>
      </c>
      <c r="S19" s="516">
        <f t="shared" si="2"/>
      </c>
      <c r="T19" s="516">
        <f>IF(ISNA(VLOOKUP("BD6",'素データ'!$P:$T,5,FALSE)),"",VLOOKUP("BD6",'素データ'!$P:$T,5,FALSE))</f>
      </c>
      <c r="U19" s="515">
        <f>IF(ISNA(VLOOKUP("BE6",'素データ'!$P:$R,3,FALSE)),"",VLOOKUP("BE6",'素データ'!$P:$R,3,FALSE))</f>
      </c>
      <c r="V19" s="516">
        <f>IF(ISNA(VLOOKUP("BE6",'素データ'!$P:$T,4,FALSE)),"",VLOOKUP("BE6",'素データ'!$P:$T,4,FALSE))</f>
      </c>
      <c r="W19" s="516">
        <f t="shared" si="3"/>
      </c>
      <c r="X19" s="517">
        <f>IF(ISNA(VLOOKUP("BE6",'素データ'!$P:$T,5,FALSE)),"",VLOOKUP("BE6",'素データ'!$P:$T,5,FALSE))</f>
      </c>
      <c r="Y19" s="515">
        <f>IF(ISNA(VLOOKUP("BF6",'素データ'!$P:$R,3,FALSE)),"",VLOOKUP("BF6",'素データ'!$P:$R,3,FALSE))</f>
      </c>
      <c r="Z19" s="516">
        <f>IF(ISNA(VLOOKUP("BF6",'素データ'!$P:$T,4,FALSE)),"",VLOOKUP("BF6",'素データ'!$P:$T,4,FALSE))</f>
      </c>
      <c r="AA19" s="516">
        <f t="shared" si="4"/>
      </c>
      <c r="AB19" s="517">
        <f>IF(ISNA(VLOOKUP("BF6",'素データ'!$P:$T,5,FALSE)),"",VLOOKUP("BF6",'素データ'!$P:$T,5,FALSE))</f>
      </c>
      <c r="AC19" s="133">
        <f>IF(ISNA(VLOOKUP("BG6",'素データ'!$P:$R,3,FALSE)),"",VLOOKUP("BG6",'素データ'!$P:$R,3,FALSE))</f>
      </c>
      <c r="AD19" s="134">
        <f>IF(ISNA(VLOOKUP("BG6",'素データ'!$P:$T,4,FALSE)),"",VLOOKUP("BG6",'素データ'!$P:$T,4,FALSE))</f>
      </c>
      <c r="AE19" s="134">
        <f t="shared" si="5"/>
      </c>
      <c r="AF19" s="135">
        <f>IF(ISNA(VLOOKUP("BG6",'素データ'!$P:$T,5,FALSE)),"",VLOOKUP("BG6",'素データ'!$P:$T,5,FALSE))</f>
      </c>
      <c r="AG19" s="419">
        <f>IF(ISNA(VLOOKUP("BH6",'素データ'!$P:$R,3,FALSE)),"",VLOOKUP("BH6",'素データ'!$P:$R,3,FALSE))</f>
      </c>
      <c r="AH19" s="420">
        <f>IF(ISNA(VLOOKUP("BH6",'素データ'!$P:$T,4,FALSE)),"",VLOOKUP("BH6",'素データ'!$P:$T,4,FALSE))</f>
      </c>
      <c r="AI19" s="420">
        <f t="shared" si="6"/>
      </c>
      <c r="AJ19" s="421">
        <f>IF(ISNA(VLOOKUP("BH6",'素データ'!$P:$T,5,FALSE)),"",VLOOKUP("BH6",'素データ'!$P:$T,5,FALSE))</f>
      </c>
      <c r="AK19" s="640"/>
      <c r="AL19" s="640"/>
      <c r="AM19" s="640"/>
      <c r="AN19" s="640"/>
      <c r="AO19" s="643"/>
      <c r="AP19" s="625"/>
      <c r="AQ19" s="625"/>
      <c r="AR19" s="631"/>
      <c r="AS19" s="456"/>
      <c r="AT19" s="17"/>
      <c r="AU19" s="637"/>
      <c r="AV19" s="634"/>
      <c r="AW19" s="628"/>
    </row>
    <row r="20" spans="1:49" ht="12.75" customHeight="1">
      <c r="A20" s="604">
        <f>AO20+(AL20-AM20)/100000+0.000005</f>
        <v>0.667065</v>
      </c>
      <c r="C20" s="652" t="str">
        <f>'素データ'!Y9</f>
        <v>C</v>
      </c>
      <c r="D20" s="655" t="str">
        <f>VLOOKUP(C20,'素データ'!Y7:Z14,2,FALSE)</f>
        <v>ファイターズＢ</v>
      </c>
      <c r="E20" s="44" t="str">
        <f>IF($M$8="","",VLOOKUP($M$8,'素データ'!$Z$21:$AA$23,2,FALSE))</f>
        <v>●</v>
      </c>
      <c r="F20" s="47">
        <f>$P$8</f>
        <v>4</v>
      </c>
      <c r="G20" s="47" t="str">
        <f t="shared" si="8"/>
        <v>－</v>
      </c>
      <c r="H20" s="48">
        <f>$N$8</f>
        <v>6</v>
      </c>
      <c r="I20" s="518" t="str">
        <f>IF($M$14="","",VLOOKUP($M$14,'素データ'!$Z$21:$AA$23,2,FALSE))</f>
        <v>●</v>
      </c>
      <c r="J20" s="519">
        <f>$P$14</f>
        <v>1</v>
      </c>
      <c r="K20" s="519" t="str">
        <f aca="true" t="shared" si="11" ref="K20:K55">IF(I20="","","－")</f>
        <v>－</v>
      </c>
      <c r="L20" s="520">
        <f>$N$14</f>
        <v>9</v>
      </c>
      <c r="M20" s="605" t="s">
        <v>480</v>
      </c>
      <c r="N20" s="606"/>
      <c r="O20" s="606"/>
      <c r="P20" s="607"/>
      <c r="Q20" s="513" t="str">
        <f>IF(ISNA(VLOOKUP("CD1",'素データ'!$P:$R,3,FALSE)),"",VLOOKUP("CD1",'素データ'!$P:$R,3,FALSE))</f>
        <v>●</v>
      </c>
      <c r="R20" s="513">
        <f>IF(ISNA(VLOOKUP("CD1",'素データ'!$P:$T,4,FALSE)),"",VLOOKUP("CD1",'素データ'!$P:$T,4,FALSE))</f>
        <v>6</v>
      </c>
      <c r="S20" s="513" t="str">
        <f aca="true" t="shared" si="12" ref="S20:S25">IF(Q20="","","－")</f>
        <v>－</v>
      </c>
      <c r="T20" s="513">
        <f>IF(ISNA(VLOOKUP("CD1",'素データ'!$P:$T,5,FALSE)),"",VLOOKUP("CD1",'素データ'!$P:$T,5,FALSE))</f>
        <v>7</v>
      </c>
      <c r="U20" s="512" t="str">
        <f>IF(ISNA(VLOOKUP("CE1",'素データ'!$P:$R,3,FALSE)),"",VLOOKUP("CE1",'素データ'!$P:$R,3,FALSE))</f>
        <v>○</v>
      </c>
      <c r="V20" s="513">
        <f>IF(ISNA(VLOOKUP("CE1",'素データ'!$P:$T,4,FALSE)),"",VLOOKUP("CE1",'素データ'!$P:$T,4,FALSE))</f>
        <v>3</v>
      </c>
      <c r="W20" s="513" t="str">
        <f t="shared" si="3"/>
        <v>－</v>
      </c>
      <c r="X20" s="514">
        <f>IF(ISNA(VLOOKUP("CE1",'素データ'!$P:$T,5,FALSE)),"",VLOOKUP("CE1",'素データ'!$P:$T,5,FALSE))</f>
        <v>2</v>
      </c>
      <c r="Y20" s="512" t="str">
        <f>IF(ISNA(VLOOKUP("CF1",'素データ'!$P:$R,3,FALSE)),"",VLOOKUP("CF1",'素データ'!$P:$R,3,FALSE))</f>
        <v>○</v>
      </c>
      <c r="Z20" s="513">
        <f>IF(ISNA(VLOOKUP("CF1",'素データ'!$P:$T,4,FALSE)),"",VLOOKUP("CF1",'素データ'!$P:$T,4,FALSE))</f>
        <v>14</v>
      </c>
      <c r="AA20" s="513" t="str">
        <f t="shared" si="4"/>
        <v>－</v>
      </c>
      <c r="AB20" s="514">
        <f>IF(ISNA(VLOOKUP("CF1",'素データ'!$P:$T,5,FALSE)),"",VLOOKUP("CF1",'素データ'!$P:$T,5,FALSE))</f>
        <v>0</v>
      </c>
      <c r="AC20" s="131" t="str">
        <f>IF(ISNA(VLOOKUP("CG1",'素データ'!$P:$R,3,FALSE)),"",VLOOKUP("CG1",'素データ'!$P:$R,3,FALSE))</f>
        <v>○</v>
      </c>
      <c r="AD20" s="130">
        <f>IF(ISNA(VLOOKUP("CG1",'素データ'!$P:$T,4,FALSE)),"",VLOOKUP("CG1",'素データ'!$P:$T,4,FALSE))</f>
        <v>24</v>
      </c>
      <c r="AE20" s="130" t="str">
        <f t="shared" si="5"/>
        <v>－</v>
      </c>
      <c r="AF20" s="132">
        <f>IF(ISNA(VLOOKUP("CG1",'素データ'!$P:$T,5,FALSE)),"",VLOOKUP("CG1",'素データ'!$P:$T,5,FALSE))</f>
        <v>0</v>
      </c>
      <c r="AG20" s="416">
        <f>IF(ISNA(VLOOKUP("CH1",'素データ'!$P:$R,3,FALSE)),"",VLOOKUP("CH1",'素データ'!$P:$R,3,FALSE))</f>
      </c>
      <c r="AH20" s="417">
        <f>IF(ISNA(VLOOKUP("CH1",'素データ'!$P:$T,4,FALSE)),"",VLOOKUP("CH1",'素データ'!$P:$T,4,FALSE))</f>
      </c>
      <c r="AI20" s="417">
        <f t="shared" si="6"/>
      </c>
      <c r="AJ20" s="418">
        <f>IF(ISNA(VLOOKUP("CH1",'素データ'!$P:$T,5,FALSE)),"",VLOOKUP("CH1",'素データ'!$P:$T,5,FALSE))</f>
      </c>
      <c r="AK20" s="638">
        <f>SUM(AL20:AN20)</f>
        <v>18</v>
      </c>
      <c r="AL20" s="638">
        <f>COUNTIF(E20:AG25,"○")</f>
        <v>12</v>
      </c>
      <c r="AM20" s="638">
        <f>COUNTIF(E20:AG25,"●")</f>
        <v>6</v>
      </c>
      <c r="AN20" s="638">
        <f>COUNTIF(E20:AG25,"△")</f>
        <v>0</v>
      </c>
      <c r="AO20" s="641">
        <f>ROUND(AL20/(AL20+AM20),3)</f>
        <v>0.667</v>
      </c>
      <c r="AP20" s="623">
        <f>SUM(F20:F25)+SUM(J20:J25)+SUM(R20:R25)+SUM(V20:V25)+SUM(Z20:Z25)+SUM(AD20:AD25)+SUM(AH20:AH25)</f>
        <v>145</v>
      </c>
      <c r="AQ20" s="623">
        <f>SUM(H20:H25)+SUM(L20:L25)+SUM(T20:T25)+SUM(X20:X25)+SUM(AB20:AB25)+SUM(AF20:AF25)+SUM(AJ20:AJ25)</f>
        <v>73</v>
      </c>
      <c r="AR20" s="629">
        <f>RANK(AO20,$AO$8:$AO$49,0)</f>
        <v>3</v>
      </c>
      <c r="AS20" s="456"/>
      <c r="AT20" s="17"/>
      <c r="AU20" s="635" t="str">
        <f>IF(AL20=((DCOUNTA('素データ'!$F$5:$L$69,"試合結果",criteria!B25:H26))+(DCOUNTA('素データ'!$F$5:$L$69,"試合結果",criteria!B27:H28))),"OK","NG")</f>
        <v>OK</v>
      </c>
      <c r="AV20" s="632" t="str">
        <f>IF(AM20=((DCOUNTA('素データ'!$F$5:$L$69,"試合結果",criteria!B29:H30))+(DCOUNTA('素データ'!$F$5:$L$69,"試合結果",criteria!B31:H32))),"OK","NG")</f>
        <v>OK</v>
      </c>
      <c r="AW20" s="626" t="str">
        <f>IF(AN20=((DCOUNTA('素データ'!$F$5:$L$69,"試合結果",criteria!B33:H34))+(DCOUNTA('素データ'!$F$5:$L$69,"試合結果",criteria!B35:H36))),"OK","NG")</f>
        <v>OK</v>
      </c>
    </row>
    <row r="21" spans="1:49" ht="12.75" customHeight="1">
      <c r="A21" s="604"/>
      <c r="C21" s="653"/>
      <c r="D21" s="656"/>
      <c r="E21" s="49" t="str">
        <f>IF($M$9="","",VLOOKUP($M$9,'素データ'!$Z$21:$AA$23,2,FALSE))</f>
        <v>○</v>
      </c>
      <c r="F21" s="50">
        <f>$P$9</f>
        <v>2</v>
      </c>
      <c r="G21" s="50" t="str">
        <f t="shared" si="8"/>
        <v>－</v>
      </c>
      <c r="H21" s="52">
        <f>$N$9</f>
        <v>1</v>
      </c>
      <c r="I21" s="521" t="str">
        <f>IF($M$15="","",VLOOKUP($M$15,'素データ'!$Z$21:$AA$23,2,FALSE))</f>
        <v>●</v>
      </c>
      <c r="J21" s="522">
        <f>$P$15</f>
        <v>5</v>
      </c>
      <c r="K21" s="522" t="str">
        <f t="shared" si="11"/>
        <v>－</v>
      </c>
      <c r="L21" s="523">
        <f>$N$15</f>
        <v>7</v>
      </c>
      <c r="M21" s="608"/>
      <c r="N21" s="609"/>
      <c r="O21" s="609"/>
      <c r="P21" s="610"/>
      <c r="Q21" s="513" t="str">
        <f>IF(ISNA(VLOOKUP("CD2",'素データ'!$P:$R,3,FALSE)),"",VLOOKUP("CD2",'素データ'!$P:$R,3,FALSE))</f>
        <v>○</v>
      </c>
      <c r="R21" s="513">
        <f>IF(ISNA(VLOOKUP("CD2",'素データ'!$P:$T,4,FALSE)),"",VLOOKUP("CD2",'素データ'!$P:$T,4,FALSE))</f>
        <v>7</v>
      </c>
      <c r="S21" s="513" t="str">
        <f t="shared" si="12"/>
        <v>－</v>
      </c>
      <c r="T21" s="513">
        <f>IF(ISNA(VLOOKUP("CD2",'素データ'!$P:$T,5,FALSE)),"",VLOOKUP("CD2",'素データ'!$P:$T,5,FALSE))</f>
        <v>4</v>
      </c>
      <c r="U21" s="512" t="str">
        <f>IF(ISNA(VLOOKUP("CE2",'素データ'!$P:$R,3,FALSE)),"",VLOOKUP("CE2",'素データ'!$P:$R,3,FALSE))</f>
        <v>●</v>
      </c>
      <c r="V21" s="513">
        <f>IF(ISNA(VLOOKUP("CE2",'素データ'!$P:$T,4,FALSE)),"",VLOOKUP("CE2",'素データ'!$P:$T,4,FALSE))</f>
        <v>4</v>
      </c>
      <c r="W21" s="513" t="str">
        <f t="shared" si="3"/>
        <v>－</v>
      </c>
      <c r="X21" s="514">
        <f>IF(ISNA(VLOOKUP("CE2",'素データ'!$P:$T,5,FALSE)),"",VLOOKUP("CE2",'素データ'!$P:$T,5,FALSE))</f>
        <v>6</v>
      </c>
      <c r="Y21" s="512" t="str">
        <f>IF(ISNA(VLOOKUP("CF2",'素データ'!$P:$R,3,FALSE)),"",VLOOKUP("CF2",'素データ'!$P:$R,3,FALSE))</f>
        <v>○</v>
      </c>
      <c r="Z21" s="513">
        <f>IF(ISNA(VLOOKUP("CF2",'素データ'!$P:$T,4,FALSE)),"",VLOOKUP("CF2",'素データ'!$P:$T,4,FALSE))</f>
        <v>16</v>
      </c>
      <c r="AA21" s="513" t="str">
        <f t="shared" si="4"/>
        <v>－</v>
      </c>
      <c r="AB21" s="514">
        <f>IF(ISNA(VLOOKUP("CF2",'素データ'!$P:$T,5,FALSE)),"",VLOOKUP("CF2",'素データ'!$P:$T,5,FALSE))</f>
        <v>2</v>
      </c>
      <c r="AC21" s="131" t="str">
        <f>IF(ISNA(VLOOKUP("CG2",'素データ'!$P:$R,3,FALSE)),"",VLOOKUP("CG2",'素データ'!$P:$R,3,FALSE))</f>
        <v>○</v>
      </c>
      <c r="AD21" s="130">
        <f>IF(ISNA(VLOOKUP("CG2",'素データ'!$P:$T,4,FALSE)),"",VLOOKUP("CG2",'素データ'!$P:$T,4,FALSE))</f>
        <v>18</v>
      </c>
      <c r="AE21" s="130" t="str">
        <f t="shared" si="5"/>
        <v>－</v>
      </c>
      <c r="AF21" s="132">
        <f>IF(ISNA(VLOOKUP("CG2",'素データ'!$P:$T,5,FALSE)),"",VLOOKUP("CG2",'素データ'!$P:$T,5,FALSE))</f>
        <v>6</v>
      </c>
      <c r="AG21" s="416">
        <f>IF(ISNA(VLOOKUP("CH2",'素データ'!$P:$R,3,FALSE)),"",VLOOKUP("CH2",'素データ'!$P:$R,3,FALSE))</f>
      </c>
      <c r="AH21" s="417">
        <f>IF(ISNA(VLOOKUP("CH2",'素データ'!$P:$T,4,FALSE)),"",VLOOKUP("CH2",'素データ'!$P:$T,4,FALSE))</f>
      </c>
      <c r="AI21" s="417">
        <f t="shared" si="6"/>
      </c>
      <c r="AJ21" s="418">
        <f>IF(ISNA(VLOOKUP("CH2",'素データ'!$P:$T,5,FALSE)),"",VLOOKUP("CH2",'素データ'!$P:$T,5,FALSE))</f>
      </c>
      <c r="AK21" s="639"/>
      <c r="AL21" s="639"/>
      <c r="AM21" s="639"/>
      <c r="AN21" s="639"/>
      <c r="AO21" s="642"/>
      <c r="AP21" s="624"/>
      <c r="AQ21" s="624"/>
      <c r="AR21" s="630"/>
      <c r="AS21" s="456"/>
      <c r="AT21" s="17"/>
      <c r="AU21" s="636"/>
      <c r="AV21" s="633"/>
      <c r="AW21" s="627"/>
    </row>
    <row r="22" spans="1:49" ht="12.75" customHeight="1">
      <c r="A22" s="604"/>
      <c r="C22" s="653"/>
      <c r="D22" s="656"/>
      <c r="E22" s="49" t="str">
        <f>IF($M$10="","",VLOOKUP($M$10,'素データ'!$Z$21:$AA$23,2,FALSE))</f>
        <v>○</v>
      </c>
      <c r="F22" s="50">
        <f>$P$10</f>
        <v>4</v>
      </c>
      <c r="G22" s="50" t="str">
        <f t="shared" si="8"/>
        <v>－</v>
      </c>
      <c r="H22" s="52">
        <f>$N$10</f>
        <v>2</v>
      </c>
      <c r="I22" s="521" t="str">
        <f>IF($M$16="","",VLOOKUP($M$16,'素データ'!$Z$21:$AA$23,2,FALSE))</f>
        <v>●</v>
      </c>
      <c r="J22" s="522">
        <f>$P$16</f>
        <v>1</v>
      </c>
      <c r="K22" s="522" t="str">
        <f t="shared" si="11"/>
        <v>－</v>
      </c>
      <c r="L22" s="523">
        <f>$N$16</f>
        <v>13</v>
      </c>
      <c r="M22" s="608"/>
      <c r="N22" s="609"/>
      <c r="O22" s="609"/>
      <c r="P22" s="610"/>
      <c r="Q22" s="513" t="str">
        <f>IF(ISNA(VLOOKUP("CD3",'素データ'!$P:$R,3,FALSE)),"",VLOOKUP("CD3",'素データ'!$P:$R,3,FALSE))</f>
        <v>○</v>
      </c>
      <c r="R22" s="513">
        <f>IF(ISNA(VLOOKUP("CD3",'素データ'!$P:$T,4,FALSE)),"",VLOOKUP("CD3",'素データ'!$P:$T,4,FALSE))</f>
        <v>9</v>
      </c>
      <c r="S22" s="513" t="str">
        <f t="shared" si="12"/>
        <v>－</v>
      </c>
      <c r="T22" s="513">
        <f>IF(ISNA(VLOOKUP("CD3",'素データ'!$P:$T,5,FALSE)),"",VLOOKUP("CD3",'素データ'!$P:$T,5,FALSE))</f>
        <v>0</v>
      </c>
      <c r="U22" s="512" t="str">
        <f>IF(ISNA(VLOOKUP("CE3",'素データ'!$P:$R,3,FALSE)),"",VLOOKUP("CE3",'素データ'!$P:$R,3,FALSE))</f>
        <v>○</v>
      </c>
      <c r="V22" s="513">
        <f>IF(ISNA(VLOOKUP("CE3",'素データ'!$P:$T,4,FALSE)),"",VLOOKUP("CE3",'素データ'!$P:$T,4,FALSE))</f>
        <v>6</v>
      </c>
      <c r="W22" s="513" t="str">
        <f t="shared" si="3"/>
        <v>－</v>
      </c>
      <c r="X22" s="514">
        <f>IF(ISNA(VLOOKUP("CE3",'素データ'!$P:$T,5,FALSE)),"",VLOOKUP("CE3",'素データ'!$P:$T,5,FALSE))</f>
        <v>2</v>
      </c>
      <c r="Y22" s="512" t="str">
        <f>IF(ISNA(VLOOKUP("CF3",'素データ'!$P:$R,3,FALSE)),"",VLOOKUP("CF3",'素データ'!$P:$R,3,FALSE))</f>
        <v>○</v>
      </c>
      <c r="Z22" s="513">
        <f>IF(ISNA(VLOOKUP("CF3",'素データ'!$P:$T,4,FALSE)),"",VLOOKUP("CF3",'素データ'!$P:$T,4,FALSE))</f>
        <v>7</v>
      </c>
      <c r="AA22" s="513" t="str">
        <f t="shared" si="4"/>
        <v>－</v>
      </c>
      <c r="AB22" s="514">
        <f>IF(ISNA(VLOOKUP("CF3",'素データ'!$P:$T,5,FALSE)),"",VLOOKUP("CF3",'素データ'!$P:$T,5,FALSE))</f>
        <v>5</v>
      </c>
      <c r="AC22" s="131" t="str">
        <f>IF(ISNA(VLOOKUP("CG3",'素データ'!$P:$R,3,FALSE)),"",VLOOKUP("CG3",'素データ'!$P:$R,3,FALSE))</f>
        <v>○</v>
      </c>
      <c r="AD22" s="130">
        <f>IF(ISNA(VLOOKUP("CG3",'素データ'!$P:$T,4,FALSE)),"",VLOOKUP("CG3",'素データ'!$P:$T,4,FALSE))</f>
        <v>14</v>
      </c>
      <c r="AE22" s="130" t="str">
        <f t="shared" si="5"/>
        <v>－</v>
      </c>
      <c r="AF22" s="132">
        <f>IF(ISNA(VLOOKUP("CG3",'素データ'!$P:$T,5,FALSE)),"",VLOOKUP("CG3",'素データ'!$P:$T,5,FALSE))</f>
        <v>1</v>
      </c>
      <c r="AG22" s="416">
        <f>IF(ISNA(VLOOKUP("CH3",'素データ'!$P:$R,3,FALSE)),"",VLOOKUP("CH3",'素データ'!$P:$R,3,FALSE))</f>
      </c>
      <c r="AH22" s="417">
        <f>IF(ISNA(VLOOKUP("CH3",'素データ'!$P:$T,4,FALSE)),"",VLOOKUP("CH3",'素データ'!$P:$T,4,FALSE))</f>
      </c>
      <c r="AI22" s="417">
        <f t="shared" si="6"/>
      </c>
      <c r="AJ22" s="418">
        <f>IF(ISNA(VLOOKUP("CH3",'素データ'!$P:$T,5,FALSE)),"",VLOOKUP("CH3",'素データ'!$P:$T,5,FALSE))</f>
      </c>
      <c r="AK22" s="639"/>
      <c r="AL22" s="639"/>
      <c r="AM22" s="639"/>
      <c r="AN22" s="639"/>
      <c r="AO22" s="642"/>
      <c r="AP22" s="624"/>
      <c r="AQ22" s="624"/>
      <c r="AR22" s="630"/>
      <c r="AS22" s="456"/>
      <c r="AT22" s="17"/>
      <c r="AU22" s="636"/>
      <c r="AV22" s="633"/>
      <c r="AW22" s="627"/>
    </row>
    <row r="23" spans="1:49" ht="12.75" customHeight="1">
      <c r="A23" s="604"/>
      <c r="C23" s="653"/>
      <c r="D23" s="656"/>
      <c r="E23" s="49">
        <f>IF($M$11="","",VLOOKUP($M$11,'素データ'!$Z$21:$AA$23,2,FALSE))</f>
      </c>
      <c r="F23" s="50">
        <f>$P$11</f>
      </c>
      <c r="G23" s="50">
        <f t="shared" si="8"/>
      </c>
      <c r="H23" s="52">
        <f>$N$11</f>
      </c>
      <c r="I23" s="521">
        <f>IF($M$17="","",VLOOKUP($M$17,'素データ'!$Z$21:$AA$23,2,FALSE))</f>
      </c>
      <c r="J23" s="522">
        <f>$P$17</f>
      </c>
      <c r="K23" s="522">
        <f t="shared" si="11"/>
      </c>
      <c r="L23" s="523">
        <f>$N$17</f>
      </c>
      <c r="M23" s="608"/>
      <c r="N23" s="609"/>
      <c r="O23" s="609"/>
      <c r="P23" s="610"/>
      <c r="Q23" s="513">
        <f>IF(ISNA(VLOOKUP("CD4",'素データ'!$P:$R,3,FALSE)),"",VLOOKUP("CD4",'素データ'!$P:$R,3,FALSE))</f>
      </c>
      <c r="R23" s="513">
        <f>IF(ISNA(VLOOKUP("CD4",'素データ'!$P:$T,4,FALSE)),"",VLOOKUP("CD4",'素データ'!$P:$T,4,FALSE))</f>
      </c>
      <c r="S23" s="513">
        <f t="shared" si="12"/>
      </c>
      <c r="T23" s="513">
        <f>IF(ISNA(VLOOKUP("CD4",'素データ'!$P:$T,5,FALSE)),"",VLOOKUP("CD4",'素データ'!$P:$T,5,FALSE))</f>
      </c>
      <c r="U23" s="512">
        <f>IF(ISNA(VLOOKUP("CE4",'素データ'!$P:$R,3,FALSE)),"",VLOOKUP("CE4",'素データ'!$P:$R,3,FALSE))</f>
      </c>
      <c r="V23" s="513">
        <f>IF(ISNA(VLOOKUP("CE4",'素データ'!$P:$T,4,FALSE)),"",VLOOKUP("CE4",'素データ'!$P:$T,4,FALSE))</f>
      </c>
      <c r="W23" s="513">
        <f t="shared" si="3"/>
      </c>
      <c r="X23" s="514">
        <f>IF(ISNA(VLOOKUP("CE4",'素データ'!$P:$T,5,FALSE)),"",VLOOKUP("CE4",'素データ'!$P:$T,5,FALSE))</f>
      </c>
      <c r="Y23" s="512">
        <f>IF(ISNA(VLOOKUP("CF4",'素データ'!$P:$R,3,FALSE)),"",VLOOKUP("CF4",'素データ'!$P:$R,3,FALSE))</f>
      </c>
      <c r="Z23" s="513">
        <f>IF(ISNA(VLOOKUP("CF4",'素データ'!$P:$T,4,FALSE)),"",VLOOKUP("CF4",'素データ'!$P:$T,4,FALSE))</f>
      </c>
      <c r="AA23" s="513">
        <f t="shared" si="4"/>
      </c>
      <c r="AB23" s="514">
        <f>IF(ISNA(VLOOKUP("CF4",'素データ'!$P:$T,5,FALSE)),"",VLOOKUP("CF4",'素データ'!$P:$T,5,FALSE))</f>
      </c>
      <c r="AC23" s="131">
        <f>IF(ISNA(VLOOKUP("CG4",'素データ'!$P:$R,3,FALSE)),"",VLOOKUP("CG4",'素データ'!$P:$R,3,FALSE))</f>
      </c>
      <c r="AD23" s="130">
        <f>IF(ISNA(VLOOKUP("CG4",'素データ'!$P:$T,4,FALSE)),"",VLOOKUP("CG4",'素データ'!$P:$T,4,FALSE))</f>
      </c>
      <c r="AE23" s="130">
        <f t="shared" si="5"/>
      </c>
      <c r="AF23" s="132">
        <f>IF(ISNA(VLOOKUP("CG4",'素データ'!$P:$T,5,FALSE)),"",VLOOKUP("CG4",'素データ'!$P:$T,5,FALSE))</f>
      </c>
      <c r="AG23" s="416">
        <f>IF(ISNA(VLOOKUP("CH4",'素データ'!$P:$R,3,FALSE)),"",VLOOKUP("CH4",'素データ'!$P:$R,3,FALSE))</f>
      </c>
      <c r="AH23" s="417">
        <f>IF(ISNA(VLOOKUP("CH4",'素データ'!$P:$T,4,FALSE)),"",VLOOKUP("CH4",'素データ'!$P:$T,4,FALSE))</f>
      </c>
      <c r="AI23" s="417">
        <f t="shared" si="6"/>
      </c>
      <c r="AJ23" s="418">
        <f>IF(ISNA(VLOOKUP("CH4",'素データ'!$P:$T,5,FALSE)),"",VLOOKUP("CH4",'素データ'!$P:$T,5,FALSE))</f>
      </c>
      <c r="AK23" s="639"/>
      <c r="AL23" s="639"/>
      <c r="AM23" s="639"/>
      <c r="AN23" s="639"/>
      <c r="AO23" s="642"/>
      <c r="AP23" s="624"/>
      <c r="AQ23" s="624"/>
      <c r="AR23" s="630"/>
      <c r="AS23" s="456"/>
      <c r="AT23" s="17"/>
      <c r="AU23" s="636"/>
      <c r="AV23" s="633"/>
      <c r="AW23" s="627"/>
    </row>
    <row r="24" spans="1:49" ht="12.75" customHeight="1">
      <c r="A24" s="604"/>
      <c r="C24" s="653"/>
      <c r="D24" s="656"/>
      <c r="E24" s="49">
        <f>IF($M$12="","",VLOOKUP($M$12,'素データ'!$Z$21:$AA$23,2,FALSE))</f>
      </c>
      <c r="F24" s="50">
        <f>$P$12</f>
      </c>
      <c r="G24" s="50">
        <f t="shared" si="8"/>
      </c>
      <c r="H24" s="52">
        <f>$N$12</f>
      </c>
      <c r="I24" s="521">
        <f>IF($M$18="","",VLOOKUP($M$18,'素データ'!$Z$21:$AA$23,2,FALSE))</f>
      </c>
      <c r="J24" s="522">
        <f>$P$18</f>
      </c>
      <c r="K24" s="522">
        <f t="shared" si="11"/>
      </c>
      <c r="L24" s="523">
        <f>$N$18</f>
      </c>
      <c r="M24" s="608"/>
      <c r="N24" s="609"/>
      <c r="O24" s="609"/>
      <c r="P24" s="610"/>
      <c r="Q24" s="513">
        <f>IF(ISNA(VLOOKUP("CD5",'素データ'!$P:$R,3,FALSE)),"",VLOOKUP("CD5",'素データ'!$P:$R,3,FALSE))</f>
      </c>
      <c r="R24" s="513">
        <f>IF(ISNA(VLOOKUP("CD5",'素データ'!$P:$T,4,FALSE)),"",VLOOKUP("CD5",'素データ'!$P:$T,4,FALSE))</f>
      </c>
      <c r="S24" s="513">
        <f t="shared" si="12"/>
      </c>
      <c r="T24" s="513">
        <f>IF(ISNA(VLOOKUP("CD5",'素データ'!$P:$T,5,FALSE)),"",VLOOKUP("CD5",'素データ'!$P:$T,5,FALSE))</f>
      </c>
      <c r="U24" s="512">
        <f>IF(ISNA(VLOOKUP("CE5",'素データ'!$P:$R,3,FALSE)),"",VLOOKUP("CE5",'素データ'!$P:$R,3,FALSE))</f>
      </c>
      <c r="V24" s="513">
        <f>IF(ISNA(VLOOKUP("CE5",'素データ'!$P:$T,4,FALSE)),"",VLOOKUP("CE5",'素データ'!$P:$T,4,FALSE))</f>
      </c>
      <c r="W24" s="513">
        <f t="shared" si="3"/>
      </c>
      <c r="X24" s="514">
        <f>IF(ISNA(VLOOKUP("CE5",'素データ'!$P:$T,5,FALSE)),"",VLOOKUP("CE5",'素データ'!$P:$T,5,FALSE))</f>
      </c>
      <c r="Y24" s="512">
        <f>IF(ISNA(VLOOKUP("CF5",'素データ'!$P:$R,3,FALSE)),"",VLOOKUP("CF5",'素データ'!$P:$R,3,FALSE))</f>
      </c>
      <c r="Z24" s="513">
        <f>IF(ISNA(VLOOKUP("CF5",'素データ'!$P:$T,4,FALSE)),"",VLOOKUP("CF5",'素データ'!$P:$T,4,FALSE))</f>
      </c>
      <c r="AA24" s="513">
        <f t="shared" si="4"/>
      </c>
      <c r="AB24" s="514">
        <f>IF(ISNA(VLOOKUP("CF5",'素データ'!$P:$T,5,FALSE)),"",VLOOKUP("CF5",'素データ'!$P:$T,5,FALSE))</f>
      </c>
      <c r="AC24" s="131">
        <f>IF(ISNA(VLOOKUP("CG5",'素データ'!$P:$R,3,FALSE)),"",VLOOKUP("CG5",'素データ'!$P:$R,3,FALSE))</f>
      </c>
      <c r="AD24" s="130">
        <f>IF(ISNA(VLOOKUP("CG5",'素データ'!$P:$T,4,FALSE)),"",VLOOKUP("CG5",'素データ'!$P:$T,4,FALSE))</f>
      </c>
      <c r="AE24" s="130">
        <f t="shared" si="5"/>
      </c>
      <c r="AF24" s="132">
        <f>IF(ISNA(VLOOKUP("CG5",'素データ'!$P:$T,5,FALSE)),"",VLOOKUP("CG5",'素データ'!$P:$T,5,FALSE))</f>
      </c>
      <c r="AG24" s="416">
        <f>IF(ISNA(VLOOKUP("CH5",'素データ'!$P:$R,3,FALSE)),"",VLOOKUP("CH5",'素データ'!$P:$R,3,FALSE))</f>
      </c>
      <c r="AH24" s="417">
        <f>IF(ISNA(VLOOKUP("CH5",'素データ'!$P:$T,4,FALSE)),"",VLOOKUP("CH5",'素データ'!$P:$T,4,FALSE))</f>
      </c>
      <c r="AI24" s="417">
        <f t="shared" si="6"/>
      </c>
      <c r="AJ24" s="418">
        <f>IF(ISNA(VLOOKUP("CH5",'素データ'!$P:$T,5,FALSE)),"",VLOOKUP("CH5",'素データ'!$P:$T,5,FALSE))</f>
      </c>
      <c r="AK24" s="639"/>
      <c r="AL24" s="639"/>
      <c r="AM24" s="639"/>
      <c r="AN24" s="639"/>
      <c r="AO24" s="642"/>
      <c r="AP24" s="624"/>
      <c r="AQ24" s="624"/>
      <c r="AR24" s="630"/>
      <c r="AS24" s="456"/>
      <c r="AT24" s="17"/>
      <c r="AU24" s="636"/>
      <c r="AV24" s="633"/>
      <c r="AW24" s="627"/>
    </row>
    <row r="25" spans="1:49" ht="12.75" customHeight="1" thickBot="1">
      <c r="A25" s="604"/>
      <c r="C25" s="654"/>
      <c r="D25" s="657"/>
      <c r="E25" s="45">
        <f>IF($M$13="","",VLOOKUP($M$13,'素データ'!$Z$21:$AA$23,2,FALSE))</f>
      </c>
      <c r="F25" s="51">
        <f>$P$13</f>
      </c>
      <c r="G25" s="51">
        <f t="shared" si="8"/>
      </c>
      <c r="H25" s="53">
        <f>$N$13</f>
      </c>
      <c r="I25" s="524">
        <f>IF($M$19="","",VLOOKUP($M$19,'素データ'!$Z$21:$AA$23,2,FALSE))</f>
      </c>
      <c r="J25" s="525">
        <f>$P$19</f>
      </c>
      <c r="K25" s="525">
        <f t="shared" si="11"/>
      </c>
      <c r="L25" s="526">
        <f>$N$19</f>
      </c>
      <c r="M25" s="611"/>
      <c r="N25" s="612"/>
      <c r="O25" s="612"/>
      <c r="P25" s="613"/>
      <c r="Q25" s="513">
        <f>IF(ISNA(VLOOKUP("CD6",'素データ'!$P:$R,3,FALSE)),"",VLOOKUP("CD6",'素データ'!$P:$R,3,FALSE))</f>
      </c>
      <c r="R25" s="513">
        <f>IF(ISNA(VLOOKUP("CD6",'素データ'!$P:$T,4,FALSE)),"",VLOOKUP("CD6",'素データ'!$P:$T,4,FALSE))</f>
      </c>
      <c r="S25" s="513">
        <f t="shared" si="12"/>
      </c>
      <c r="T25" s="513">
        <f>IF(ISNA(VLOOKUP("CD6",'素データ'!$P:$T,5,FALSE)),"",VLOOKUP("CD6",'素データ'!$P:$T,5,FALSE))</f>
      </c>
      <c r="U25" s="512">
        <f>IF(ISNA(VLOOKUP("CE6",'素データ'!$P:$R,3,FALSE)),"",VLOOKUP("CE6",'素データ'!$P:$R,3,FALSE))</f>
      </c>
      <c r="V25" s="513">
        <f>IF(ISNA(VLOOKUP("CE6",'素データ'!$P:$T,4,FALSE)),"",VLOOKUP("CE6",'素データ'!$P:$T,4,FALSE))</f>
      </c>
      <c r="W25" s="513">
        <f t="shared" si="3"/>
      </c>
      <c r="X25" s="514">
        <f>IF(ISNA(VLOOKUP("CE6",'素データ'!$P:$T,5,FALSE)),"",VLOOKUP("CE6",'素データ'!$P:$T,5,FALSE))</f>
      </c>
      <c r="Y25" s="512">
        <f>IF(ISNA(VLOOKUP("CF6",'素データ'!$P:$R,3,FALSE)),"",VLOOKUP("CF6",'素データ'!$P:$R,3,FALSE))</f>
      </c>
      <c r="Z25" s="513">
        <f>IF(ISNA(VLOOKUP("CF6",'素データ'!$P:$T,4,FALSE)),"",VLOOKUP("CF6",'素データ'!$P:$T,4,FALSE))</f>
      </c>
      <c r="AA25" s="513">
        <f t="shared" si="4"/>
      </c>
      <c r="AB25" s="514">
        <f>IF(ISNA(VLOOKUP("CF6",'素データ'!$P:$T,5,FALSE)),"",VLOOKUP("CF6",'素データ'!$P:$T,5,FALSE))</f>
      </c>
      <c r="AC25" s="131">
        <f>IF(ISNA(VLOOKUP("CG6",'素データ'!$P:$R,3,FALSE)),"",VLOOKUP("CG6",'素データ'!$P:$R,3,FALSE))</f>
      </c>
      <c r="AD25" s="130">
        <f>IF(ISNA(VLOOKUP("CG6",'素データ'!$P:$T,4,FALSE)),"",VLOOKUP("CG6",'素データ'!$P:$T,4,FALSE))</f>
      </c>
      <c r="AE25" s="130">
        <f t="shared" si="5"/>
      </c>
      <c r="AF25" s="132">
        <f>IF(ISNA(VLOOKUP("CG6",'素データ'!$P:$T,5,FALSE)),"",VLOOKUP("CG6",'素データ'!$P:$T,5,FALSE))</f>
      </c>
      <c r="AG25" s="416">
        <f>IF(ISNA(VLOOKUP("CH6",'素データ'!$P:$R,3,FALSE)),"",VLOOKUP("CH6",'素データ'!$P:$R,3,FALSE))</f>
      </c>
      <c r="AH25" s="417">
        <f>IF(ISNA(VLOOKUP("CH6",'素データ'!$P:$T,4,FALSE)),"",VLOOKUP("CH6",'素データ'!$P:$T,4,FALSE))</f>
      </c>
      <c r="AI25" s="417">
        <f t="shared" si="6"/>
      </c>
      <c r="AJ25" s="418">
        <f>IF(ISNA(VLOOKUP("CH6",'素データ'!$P:$T,5,FALSE)),"",VLOOKUP("CH6",'素データ'!$P:$T,5,FALSE))</f>
      </c>
      <c r="AK25" s="640"/>
      <c r="AL25" s="640"/>
      <c r="AM25" s="640"/>
      <c r="AN25" s="640"/>
      <c r="AO25" s="643"/>
      <c r="AP25" s="625"/>
      <c r="AQ25" s="625"/>
      <c r="AR25" s="631"/>
      <c r="AS25" s="456"/>
      <c r="AT25" s="17"/>
      <c r="AU25" s="637"/>
      <c r="AV25" s="634"/>
      <c r="AW25" s="628"/>
    </row>
    <row r="26" spans="1:49" ht="12.75" customHeight="1">
      <c r="A26" s="604">
        <f>AO26+(AL26-AM26)/100000+0.000004</f>
        <v>0.500004</v>
      </c>
      <c r="C26" s="652" t="str">
        <f>'素データ'!Y10</f>
        <v>D</v>
      </c>
      <c r="D26" s="655" t="str">
        <f>VLOOKUP(C26,'素データ'!Y7:Z14,2,FALSE)</f>
        <v>クッパーズＪｒ</v>
      </c>
      <c r="E26" s="44" t="str">
        <f>IF($Q$8="","",VLOOKUP($Q$8,'素データ'!$Z$21:$AA$23,2,FALSE))</f>
        <v>△</v>
      </c>
      <c r="F26" s="47">
        <f>$T$8</f>
        <v>2</v>
      </c>
      <c r="G26" s="47" t="str">
        <f aca="true" t="shared" si="13" ref="G26:G31">IF(E26="","","－")</f>
        <v>－</v>
      </c>
      <c r="H26" s="48">
        <f>$R$8</f>
        <v>2</v>
      </c>
      <c r="I26" s="521" t="str">
        <f>IF($Q$14="","",VLOOKUP($Q$14,'素データ'!$Z$21:$AA$23,2,FALSE))</f>
        <v>●</v>
      </c>
      <c r="J26" s="522">
        <f>$T$14</f>
        <v>2</v>
      </c>
      <c r="K26" s="522" t="str">
        <f t="shared" si="11"/>
        <v>－</v>
      </c>
      <c r="L26" s="523">
        <f>$R$14</f>
        <v>11</v>
      </c>
      <c r="M26" s="521" t="str">
        <f>IF($Q$20="","",VLOOKUP($Q$20,'素データ'!$Z$21:$AA$23,2,FALSE))</f>
        <v>○</v>
      </c>
      <c r="N26" s="522">
        <f>$T$20</f>
        <v>7</v>
      </c>
      <c r="O26" s="522" t="str">
        <f aca="true" t="shared" si="14" ref="O26:O55">IF(M26="","","－")</f>
        <v>－</v>
      </c>
      <c r="P26" s="523">
        <f>$R$20</f>
        <v>6</v>
      </c>
      <c r="Q26" s="606" t="s">
        <v>479</v>
      </c>
      <c r="R26" s="606"/>
      <c r="S26" s="606"/>
      <c r="T26" s="606"/>
      <c r="U26" s="509" t="str">
        <f>IF(ISNA(VLOOKUP("DE1",'素データ'!$P:$R,3,FALSE)),"",VLOOKUP("DE1",'素データ'!$P:$R,3,FALSE))</f>
        <v>○</v>
      </c>
      <c r="V26" s="510">
        <f>IF(ISNA(VLOOKUP("DE1",'素データ'!$P:$T,4,FALSE)),"",VLOOKUP("DE1",'素データ'!$P:$T,4,FALSE))</f>
        <v>11</v>
      </c>
      <c r="W26" s="510" t="str">
        <f aca="true" t="shared" si="15" ref="W26:W31">IF(U26="","","－")</f>
        <v>－</v>
      </c>
      <c r="X26" s="511">
        <f>IF(ISNA(VLOOKUP("DE1",'素データ'!$P:$T,5,FALSE)),"",VLOOKUP("DE1",'素データ'!$P:$T,5,FALSE))</f>
        <v>1</v>
      </c>
      <c r="Y26" s="509" t="str">
        <f>IF(ISNA(VLOOKUP("DF1",'素データ'!$P:$R,3,FALSE)),"",VLOOKUP("DF1",'素データ'!$P:$R,3,FALSE))</f>
        <v>○</v>
      </c>
      <c r="Z26" s="510">
        <f>IF(ISNA(VLOOKUP("DF1",'素データ'!$P:$T,4,FALSE)),"",VLOOKUP("DF1",'素データ'!$P:$T,4,FALSE))</f>
        <v>10</v>
      </c>
      <c r="AA26" s="510" t="str">
        <f t="shared" si="4"/>
        <v>－</v>
      </c>
      <c r="AB26" s="511">
        <f>IF(ISNA(VLOOKUP("DF1",'素データ'!$P:$T,5,FALSE)),"",VLOOKUP("DF1",'素データ'!$P:$T,5,FALSE))</f>
        <v>0</v>
      </c>
      <c r="AC26" s="128" t="str">
        <f>IF(ISNA(VLOOKUP("DG1",'素データ'!$P:$R,3,FALSE)),"",VLOOKUP("DG1",'素データ'!$P:$R,3,FALSE))</f>
        <v>○</v>
      </c>
      <c r="AD26" s="127">
        <f>IF(ISNA(VLOOKUP("DG1",'素データ'!$P:$T,4,FALSE)),"",VLOOKUP("DG1",'素データ'!$P:$T,4,FALSE))</f>
        <v>16</v>
      </c>
      <c r="AE26" s="127" t="str">
        <f t="shared" si="5"/>
        <v>－</v>
      </c>
      <c r="AF26" s="129">
        <f>IF(ISNA(VLOOKUP("DG1",'素データ'!$P:$T,5,FALSE)),"",VLOOKUP("DG1",'素データ'!$P:$T,5,FALSE))</f>
        <v>0</v>
      </c>
      <c r="AG26" s="413">
        <f>IF(ISNA(VLOOKUP("DH1",'素データ'!$P:$R,3,FALSE)),"",VLOOKUP("DH1",'素データ'!$P:$R,3,FALSE))</f>
      </c>
      <c r="AH26" s="414">
        <f>IF(ISNA(VLOOKUP("DH1",'素データ'!$P:$T,4,FALSE)),"",VLOOKUP("DH1",'素データ'!$P:$T,4,FALSE))</f>
      </c>
      <c r="AI26" s="414">
        <f t="shared" si="6"/>
      </c>
      <c r="AJ26" s="415">
        <f>IF(ISNA(VLOOKUP("DH1",'素データ'!$P:$T,5,FALSE)),"",VLOOKUP("DH1",'素データ'!$P:$T,5,FALSE))</f>
      </c>
      <c r="AK26" s="638">
        <f>SUM(AL26:AN26)</f>
        <v>18</v>
      </c>
      <c r="AL26" s="638">
        <f>COUNTIF(E26:AG31,"○")</f>
        <v>8</v>
      </c>
      <c r="AM26" s="638">
        <f>COUNTIF(E26:AG31,"●")</f>
        <v>8</v>
      </c>
      <c r="AN26" s="638">
        <f>COUNTIF(E26:AG31,"△")</f>
        <v>2</v>
      </c>
      <c r="AO26" s="641">
        <f>ROUND(AL26/(AL26+AM26),3)</f>
        <v>0.5</v>
      </c>
      <c r="AP26" s="623">
        <f>SUM(F26:F31)+SUM(J26:J31)+SUM(N26:N31)+SUM(V26:V31)+SUM(Z26:Z31)+SUM(AD26:AD31)+SUM(AH26:AH31)</f>
        <v>128</v>
      </c>
      <c r="AQ26" s="623">
        <f>SUM(H26:H31)+SUM(L26:L31)+SUM(P26:P31)+SUM(X26:X31)+SUM(AB26:AB31)+SUM(AF26:AF31)+SUM(AJ26:AJ31)</f>
        <v>99</v>
      </c>
      <c r="AR26" s="629">
        <f>RANK(AO26,$AO$8:$AO$49,0)</f>
        <v>4</v>
      </c>
      <c r="AS26" s="456"/>
      <c r="AT26" s="17"/>
      <c r="AU26" s="635" t="str">
        <f>IF(AL26=((DCOUNTA('素データ'!$F$5:$L$69,"試合結果",criteria!B37:H38))+(DCOUNTA('素データ'!$F$5:$L$69,"試合結果",criteria!B39:H40))),"OK","NG")</f>
        <v>OK</v>
      </c>
      <c r="AV26" s="632" t="str">
        <f>IF(AM26=((DCOUNTA('素データ'!$F$5:$L$69,"試合結果",criteria!B41:H42))+(DCOUNTA('素データ'!$F$5:$L$69,"試合結果",criteria!B43:H44))),"OK","NG")</f>
        <v>OK</v>
      </c>
      <c r="AW26" s="626" t="str">
        <f>IF(AN26=((DCOUNTA('素データ'!$F$5:$L$69,"試合結果",criteria!B45:H46))+(DCOUNTA('素データ'!$F$5:$L$69,"試合結果",criteria!B47:H48))),"OK","NG")</f>
        <v>OK</v>
      </c>
    </row>
    <row r="27" spans="1:49" ht="12.75" customHeight="1">
      <c r="A27" s="604"/>
      <c r="C27" s="653"/>
      <c r="D27" s="656"/>
      <c r="E27" s="49" t="str">
        <f>IF($Q$9="","",VLOOKUP($Q$9,'素データ'!$Z$21:$AA$23,2,FALSE))</f>
        <v>●</v>
      </c>
      <c r="F27" s="50">
        <f>$T$9</f>
        <v>5</v>
      </c>
      <c r="G27" s="50" t="str">
        <f t="shared" si="13"/>
        <v>－</v>
      </c>
      <c r="H27" s="52">
        <f>$R$9</f>
        <v>8</v>
      </c>
      <c r="I27" s="521" t="str">
        <f>IF($Q$15="","",VLOOKUP($Q$15,'素データ'!$Z$21:$AA$23,2,FALSE))</f>
        <v>●</v>
      </c>
      <c r="J27" s="522">
        <f>$T$15</f>
        <v>3</v>
      </c>
      <c r="K27" s="522" t="str">
        <f t="shared" si="11"/>
        <v>－</v>
      </c>
      <c r="L27" s="523">
        <f>$R$15</f>
        <v>12</v>
      </c>
      <c r="M27" s="521" t="str">
        <f>IF($Q$21="","",VLOOKUP($Q$21,'素データ'!$Z$21:$AA$23,2,FALSE))</f>
        <v>●</v>
      </c>
      <c r="N27" s="522">
        <f>$T$21</f>
        <v>4</v>
      </c>
      <c r="O27" s="522" t="str">
        <f t="shared" si="14"/>
        <v>－</v>
      </c>
      <c r="P27" s="523">
        <f>$R$21</f>
        <v>7</v>
      </c>
      <c r="Q27" s="609"/>
      <c r="R27" s="609"/>
      <c r="S27" s="609"/>
      <c r="T27" s="609"/>
      <c r="U27" s="512" t="str">
        <f>IF(ISNA(VLOOKUP("DE2",'素データ'!$P:$R,3,FALSE)),"",VLOOKUP("DE2",'素データ'!$P:$R,3,FALSE))</f>
        <v>●</v>
      </c>
      <c r="V27" s="513">
        <f>IF(ISNA(VLOOKUP("DE2",'素データ'!$P:$T,4,FALSE)),"",VLOOKUP("DE2",'素データ'!$P:$T,4,FALSE))</f>
        <v>0</v>
      </c>
      <c r="W27" s="513" t="str">
        <f t="shared" si="15"/>
        <v>－</v>
      </c>
      <c r="X27" s="514">
        <f>IF(ISNA(VLOOKUP("DE2",'素データ'!$P:$T,5,FALSE)),"",VLOOKUP("DE2",'素データ'!$P:$T,5,FALSE))</f>
        <v>6</v>
      </c>
      <c r="Y27" s="512" t="str">
        <f>IF(ISNA(VLOOKUP("DF2",'素データ'!$P:$R,3,FALSE)),"",VLOOKUP("DF2",'素データ'!$P:$R,3,FALSE))</f>
        <v>○</v>
      </c>
      <c r="Z27" s="513">
        <f>IF(ISNA(VLOOKUP("DF2",'素データ'!$P:$T,4,FALSE)),"",VLOOKUP("DF2",'素データ'!$P:$T,4,FALSE))</f>
        <v>17</v>
      </c>
      <c r="AA27" s="513" t="str">
        <f t="shared" si="4"/>
        <v>－</v>
      </c>
      <c r="AB27" s="514">
        <f>IF(ISNA(VLOOKUP("DF2",'素データ'!$P:$T,5,FALSE)),"",VLOOKUP("DF2",'素データ'!$P:$T,5,FALSE))</f>
        <v>5</v>
      </c>
      <c r="AC27" s="131" t="str">
        <f>IF(ISNA(VLOOKUP("DG2",'素データ'!$P:$R,3,FALSE)),"",VLOOKUP("DG2",'素データ'!$P:$R,3,FALSE))</f>
        <v>○</v>
      </c>
      <c r="AD27" s="130">
        <f>IF(ISNA(VLOOKUP("DG2",'素データ'!$P:$T,4,FALSE)),"",VLOOKUP("DG2",'素データ'!$P:$T,4,FALSE))</f>
        <v>20</v>
      </c>
      <c r="AE27" s="130" t="str">
        <f t="shared" si="5"/>
        <v>－</v>
      </c>
      <c r="AF27" s="132">
        <f>IF(ISNA(VLOOKUP("DG2",'素データ'!$P:$T,5,FALSE)),"",VLOOKUP("DG2",'素データ'!$P:$T,5,FALSE))</f>
        <v>3</v>
      </c>
      <c r="AG27" s="416">
        <f>IF(ISNA(VLOOKUP("DH2",'素データ'!$P:$R,3,FALSE)),"",VLOOKUP("DH2",'素データ'!$P:$R,3,FALSE))</f>
      </c>
      <c r="AH27" s="417">
        <f>IF(ISNA(VLOOKUP("DH2",'素データ'!$P:$T,4,FALSE)),"",VLOOKUP("DH2",'素データ'!$P:$T,4,FALSE))</f>
      </c>
      <c r="AI27" s="417">
        <f t="shared" si="6"/>
      </c>
      <c r="AJ27" s="418">
        <f>IF(ISNA(VLOOKUP("DH2",'素データ'!$P:$T,5,FALSE)),"",VLOOKUP("DH2",'素データ'!$P:$T,5,FALSE))</f>
      </c>
      <c r="AK27" s="639"/>
      <c r="AL27" s="639"/>
      <c r="AM27" s="639"/>
      <c r="AN27" s="639"/>
      <c r="AO27" s="642"/>
      <c r="AP27" s="624"/>
      <c r="AQ27" s="624"/>
      <c r="AR27" s="630"/>
      <c r="AS27" s="456"/>
      <c r="AT27" s="17"/>
      <c r="AU27" s="636"/>
      <c r="AV27" s="633"/>
      <c r="AW27" s="627"/>
    </row>
    <row r="28" spans="1:49" ht="12.75" customHeight="1">
      <c r="A28" s="604"/>
      <c r="C28" s="653"/>
      <c r="D28" s="656"/>
      <c r="E28" s="49" t="str">
        <f>IF($Q$10="","",VLOOKUP($Q$10,'素データ'!$Z$21:$AA$23,2,FALSE))</f>
        <v>●</v>
      </c>
      <c r="F28" s="50">
        <f>$T$10</f>
        <v>2</v>
      </c>
      <c r="G28" s="50" t="str">
        <f t="shared" si="13"/>
        <v>－</v>
      </c>
      <c r="H28" s="52">
        <f>$R$10</f>
        <v>8</v>
      </c>
      <c r="I28" s="521" t="str">
        <f>IF($Q$16="","",VLOOKUP($Q$16,'素データ'!$Z$21:$AA$23,2,FALSE))</f>
        <v>●</v>
      </c>
      <c r="J28" s="522">
        <f>$T$16</f>
        <v>0</v>
      </c>
      <c r="K28" s="522" t="str">
        <f t="shared" si="11"/>
        <v>－</v>
      </c>
      <c r="L28" s="523">
        <f>$R$16</f>
        <v>6</v>
      </c>
      <c r="M28" s="521" t="str">
        <f>IF($Q$22="","",VLOOKUP($Q$22,'素データ'!$Z$21:$AA$23,2,FALSE))</f>
        <v>●</v>
      </c>
      <c r="N28" s="522">
        <f>$T$22</f>
        <v>0</v>
      </c>
      <c r="O28" s="522" t="str">
        <f t="shared" si="14"/>
        <v>－</v>
      </c>
      <c r="P28" s="523">
        <f>$R$22</f>
        <v>9</v>
      </c>
      <c r="Q28" s="609"/>
      <c r="R28" s="609"/>
      <c r="S28" s="609"/>
      <c r="T28" s="609"/>
      <c r="U28" s="512" t="str">
        <f>IF(ISNA(VLOOKUP("DE3",'素データ'!$P:$R,3,FALSE)),"",VLOOKUP("DE3",'素データ'!$P:$R,3,FALSE))</f>
        <v>△</v>
      </c>
      <c r="V28" s="513">
        <f>IF(ISNA(VLOOKUP("DE3",'素データ'!$P:$T,4,FALSE)),"",VLOOKUP("DE3",'素データ'!$P:$T,4,FALSE))</f>
        <v>6</v>
      </c>
      <c r="W28" s="513" t="str">
        <f t="shared" si="15"/>
        <v>－</v>
      </c>
      <c r="X28" s="514">
        <f>IF(ISNA(VLOOKUP("DE3",'素データ'!$P:$T,5,FALSE)),"",VLOOKUP("DE3",'素データ'!$P:$T,5,FALSE))</f>
        <v>6</v>
      </c>
      <c r="Y28" s="512" t="str">
        <f>IF(ISNA(VLOOKUP("DF3",'素データ'!$P:$R,3,FALSE)),"",VLOOKUP("DF3",'素データ'!$P:$R,3,FALSE))</f>
        <v>○</v>
      </c>
      <c r="Z28" s="513">
        <f>IF(ISNA(VLOOKUP("DF3",'素データ'!$P:$T,4,FALSE)),"",VLOOKUP("DF3",'素データ'!$P:$T,4,FALSE))</f>
        <v>13</v>
      </c>
      <c r="AA28" s="513" t="str">
        <f t="shared" si="4"/>
        <v>－</v>
      </c>
      <c r="AB28" s="514">
        <f>IF(ISNA(VLOOKUP("DF3",'素データ'!$P:$T,5,FALSE)),"",VLOOKUP("DF3",'素データ'!$P:$T,5,FALSE))</f>
        <v>0</v>
      </c>
      <c r="AC28" s="131" t="str">
        <f>IF(ISNA(VLOOKUP("DG3",'素データ'!$P:$R,3,FALSE)),"",VLOOKUP("DG3",'素データ'!$P:$R,3,FALSE))</f>
        <v>○</v>
      </c>
      <c r="AD28" s="130">
        <f>IF(ISNA(VLOOKUP("DG3",'素データ'!$P:$T,4,FALSE)),"",VLOOKUP("DG3",'素データ'!$P:$T,4,FALSE))</f>
        <v>10</v>
      </c>
      <c r="AE28" s="130" t="str">
        <f t="shared" si="5"/>
        <v>－</v>
      </c>
      <c r="AF28" s="132">
        <f>IF(ISNA(VLOOKUP("DG3",'素データ'!$P:$T,5,FALSE)),"",VLOOKUP("DG3",'素データ'!$P:$T,5,FALSE))</f>
        <v>9</v>
      </c>
      <c r="AG28" s="416">
        <f>IF(ISNA(VLOOKUP("DH3",'素データ'!$P:$R,3,FALSE)),"",VLOOKUP("DH3",'素データ'!$P:$R,3,FALSE))</f>
      </c>
      <c r="AH28" s="417">
        <f>IF(ISNA(VLOOKUP("DH3",'素データ'!$P:$T,4,FALSE)),"",VLOOKUP("DH3",'素データ'!$P:$T,4,FALSE))</f>
      </c>
      <c r="AI28" s="417">
        <f t="shared" si="6"/>
      </c>
      <c r="AJ28" s="418">
        <f>IF(ISNA(VLOOKUP("DH3",'素データ'!$P:$T,5,FALSE)),"",VLOOKUP("DH3",'素データ'!$P:$T,5,FALSE))</f>
      </c>
      <c r="AK28" s="639"/>
      <c r="AL28" s="639"/>
      <c r="AM28" s="639"/>
      <c r="AN28" s="639"/>
      <c r="AO28" s="642"/>
      <c r="AP28" s="624"/>
      <c r="AQ28" s="624"/>
      <c r="AR28" s="630"/>
      <c r="AS28" s="456"/>
      <c r="AT28" s="17"/>
      <c r="AU28" s="636"/>
      <c r="AV28" s="633"/>
      <c r="AW28" s="627"/>
    </row>
    <row r="29" spans="1:49" ht="12.75" customHeight="1">
      <c r="A29" s="604"/>
      <c r="C29" s="653"/>
      <c r="D29" s="656"/>
      <c r="E29" s="49">
        <f>IF($Q$11="","",VLOOKUP($Q$11,'素データ'!$Z$21:$AA$23,2,FALSE))</f>
      </c>
      <c r="F29" s="50">
        <f>$T$11</f>
      </c>
      <c r="G29" s="50">
        <f t="shared" si="13"/>
      </c>
      <c r="H29" s="52">
        <f>$R$11</f>
      </c>
      <c r="I29" s="521">
        <f>IF($Q$17="","",VLOOKUP($Q$17,'素データ'!$Z$21:$AA$23,2,FALSE))</f>
      </c>
      <c r="J29" s="522">
        <f>$T$17</f>
      </c>
      <c r="K29" s="522">
        <f t="shared" si="11"/>
      </c>
      <c r="L29" s="523">
        <f>$R$17</f>
      </c>
      <c r="M29" s="521">
        <f>IF($Q$23="","",VLOOKUP($Q$23,'素データ'!$Z$21:$AA$23,2,FALSE))</f>
      </c>
      <c r="N29" s="522">
        <f>$T$23</f>
      </c>
      <c r="O29" s="522">
        <f t="shared" si="14"/>
      </c>
      <c r="P29" s="523">
        <f>$R$23</f>
      </c>
      <c r="Q29" s="609"/>
      <c r="R29" s="609"/>
      <c r="S29" s="609"/>
      <c r="T29" s="609"/>
      <c r="U29" s="512">
        <f>IF(ISNA(VLOOKUP("DE4",'素データ'!$P:$R,3,FALSE)),"",VLOOKUP("DE4",'素データ'!$P:$R,3,FALSE))</f>
      </c>
      <c r="V29" s="513">
        <f>IF(ISNA(VLOOKUP("DE4",'素データ'!$P:$T,4,FALSE)),"",VLOOKUP("DE4",'素データ'!$P:$T,4,FALSE))</f>
      </c>
      <c r="W29" s="513">
        <f t="shared" si="15"/>
      </c>
      <c r="X29" s="514">
        <f>IF(ISNA(VLOOKUP("DE4",'素データ'!$P:$T,5,FALSE)),"",VLOOKUP("DE4",'素データ'!$P:$T,5,FALSE))</f>
      </c>
      <c r="Y29" s="512">
        <f>IF(ISNA(VLOOKUP("DF4",'素データ'!$P:$R,3,FALSE)),"",VLOOKUP("DF4",'素データ'!$P:$R,3,FALSE))</f>
      </c>
      <c r="Z29" s="513">
        <f>IF(ISNA(VLOOKUP("DF4",'素データ'!$P:$T,4,FALSE)),"",VLOOKUP("DF4",'素データ'!$P:$T,4,FALSE))</f>
      </c>
      <c r="AA29" s="513">
        <f t="shared" si="4"/>
      </c>
      <c r="AB29" s="514">
        <f>IF(ISNA(VLOOKUP("DF4",'素データ'!$P:$T,5,FALSE)),"",VLOOKUP("DF4",'素データ'!$P:$T,5,FALSE))</f>
      </c>
      <c r="AC29" s="131">
        <f>IF(ISNA(VLOOKUP("DG4",'素データ'!$P:$R,3,FALSE)),"",VLOOKUP("DG4",'素データ'!$P:$R,3,FALSE))</f>
      </c>
      <c r="AD29" s="130">
        <f>IF(ISNA(VLOOKUP("DG4",'素データ'!$P:$T,4,FALSE)),"",VLOOKUP("DG4",'素データ'!$P:$T,4,FALSE))</f>
      </c>
      <c r="AE29" s="130">
        <f t="shared" si="5"/>
      </c>
      <c r="AF29" s="132">
        <f>IF(ISNA(VLOOKUP("DG4",'素データ'!$P:$T,5,FALSE)),"",VLOOKUP("DG4",'素データ'!$P:$T,5,FALSE))</f>
      </c>
      <c r="AG29" s="416">
        <f>IF(ISNA(VLOOKUP("DH4",'素データ'!$P:$R,3,FALSE)),"",VLOOKUP("DH4",'素データ'!$P:$R,3,FALSE))</f>
      </c>
      <c r="AH29" s="417">
        <f>IF(ISNA(VLOOKUP("DH4",'素データ'!$P:$T,4,FALSE)),"",VLOOKUP("DH4",'素データ'!$P:$T,4,FALSE))</f>
      </c>
      <c r="AI29" s="417">
        <f t="shared" si="6"/>
      </c>
      <c r="AJ29" s="418">
        <f>IF(ISNA(VLOOKUP("DH4",'素データ'!$P:$T,5,FALSE)),"",VLOOKUP("DH4",'素データ'!$P:$T,5,FALSE))</f>
      </c>
      <c r="AK29" s="639"/>
      <c r="AL29" s="639"/>
      <c r="AM29" s="639"/>
      <c r="AN29" s="639"/>
      <c r="AO29" s="642"/>
      <c r="AP29" s="624"/>
      <c r="AQ29" s="624"/>
      <c r="AR29" s="630"/>
      <c r="AS29" s="456"/>
      <c r="AT29" s="17"/>
      <c r="AU29" s="636"/>
      <c r="AV29" s="633"/>
      <c r="AW29" s="627"/>
    </row>
    <row r="30" spans="1:49" ht="12.75" customHeight="1">
      <c r="A30" s="604"/>
      <c r="C30" s="653"/>
      <c r="D30" s="656"/>
      <c r="E30" s="49">
        <f>IF($Q$12="","",VLOOKUP($Q$12,'素データ'!$Z$21:$AA$23,2,FALSE))</f>
      </c>
      <c r="F30" s="50">
        <f>$T$12</f>
      </c>
      <c r="G30" s="50">
        <f t="shared" si="13"/>
      </c>
      <c r="H30" s="52">
        <f>$R$12</f>
      </c>
      <c r="I30" s="521">
        <f>IF($Q$18="","",VLOOKUP($Q$18,'素データ'!$Z$21:$AA$23,2,FALSE))</f>
      </c>
      <c r="J30" s="522">
        <f>$T$18</f>
      </c>
      <c r="K30" s="522">
        <f t="shared" si="11"/>
      </c>
      <c r="L30" s="523">
        <f>$R$18</f>
      </c>
      <c r="M30" s="521">
        <f>IF($Q$24="","",VLOOKUP($Q$24,'素データ'!$Z$21:$AA$23,2,FALSE))</f>
      </c>
      <c r="N30" s="522">
        <f>$T$24</f>
      </c>
      <c r="O30" s="522">
        <f t="shared" si="14"/>
      </c>
      <c r="P30" s="523">
        <f>$R$24</f>
      </c>
      <c r="Q30" s="609"/>
      <c r="R30" s="609"/>
      <c r="S30" s="609"/>
      <c r="T30" s="609"/>
      <c r="U30" s="512">
        <f>IF(ISNA(VLOOKUP("DE5",'素データ'!$P:$R,3,FALSE)),"",VLOOKUP("DE5",'素データ'!$P:$R,3,FALSE))</f>
      </c>
      <c r="V30" s="513">
        <f>IF(ISNA(VLOOKUP("DE5",'素データ'!$P:$T,4,FALSE)),"",VLOOKUP("DE5",'素データ'!$P:$T,4,FALSE))</f>
      </c>
      <c r="W30" s="513">
        <f t="shared" si="15"/>
      </c>
      <c r="X30" s="514">
        <f>IF(ISNA(VLOOKUP("DE5",'素データ'!$P:$T,5,FALSE)),"",VLOOKUP("DE5",'素データ'!$P:$T,5,FALSE))</f>
      </c>
      <c r="Y30" s="512">
        <f>IF(ISNA(VLOOKUP("DF5",'素データ'!$P:$R,3,FALSE)),"",VLOOKUP("DF5",'素データ'!$P:$R,3,FALSE))</f>
      </c>
      <c r="Z30" s="513">
        <f>IF(ISNA(VLOOKUP("DF5",'素データ'!$P:$T,4,FALSE)),"",VLOOKUP("DF5",'素データ'!$P:$T,4,FALSE))</f>
      </c>
      <c r="AA30" s="513">
        <f t="shared" si="4"/>
      </c>
      <c r="AB30" s="514">
        <f>IF(ISNA(VLOOKUP("DF5",'素データ'!$P:$T,5,FALSE)),"",VLOOKUP("DF5",'素データ'!$P:$T,5,FALSE))</f>
      </c>
      <c r="AC30" s="131">
        <f>IF(ISNA(VLOOKUP("DG5",'素データ'!$P:$R,3,FALSE)),"",VLOOKUP("DG5",'素データ'!$P:$R,3,FALSE))</f>
      </c>
      <c r="AD30" s="130">
        <f>IF(ISNA(VLOOKUP("DG5",'素データ'!$P:$T,4,FALSE)),"",VLOOKUP("DG5",'素データ'!$P:$T,4,FALSE))</f>
      </c>
      <c r="AE30" s="130">
        <f t="shared" si="5"/>
      </c>
      <c r="AF30" s="132">
        <f>IF(ISNA(VLOOKUP("DG5",'素データ'!$P:$T,5,FALSE)),"",VLOOKUP("DG5",'素データ'!$P:$T,5,FALSE))</f>
      </c>
      <c r="AG30" s="416">
        <f>IF(ISNA(VLOOKUP("DH5",'素データ'!$P:$R,3,FALSE)),"",VLOOKUP("DH5",'素データ'!$P:$R,3,FALSE))</f>
      </c>
      <c r="AH30" s="417">
        <f>IF(ISNA(VLOOKUP("DH5",'素データ'!$P:$T,4,FALSE)),"",VLOOKUP("DH5",'素データ'!$P:$T,4,FALSE))</f>
      </c>
      <c r="AI30" s="417">
        <f t="shared" si="6"/>
      </c>
      <c r="AJ30" s="418">
        <f>IF(ISNA(VLOOKUP("DH5",'素データ'!$P:$T,5,FALSE)),"",VLOOKUP("DH5",'素データ'!$P:$T,5,FALSE))</f>
      </c>
      <c r="AK30" s="639"/>
      <c r="AL30" s="639"/>
      <c r="AM30" s="639"/>
      <c r="AN30" s="639"/>
      <c r="AO30" s="642"/>
      <c r="AP30" s="624"/>
      <c r="AQ30" s="624"/>
      <c r="AR30" s="630"/>
      <c r="AS30" s="456"/>
      <c r="AT30" s="17"/>
      <c r="AU30" s="636"/>
      <c r="AV30" s="633"/>
      <c r="AW30" s="627"/>
    </row>
    <row r="31" spans="1:49" ht="12.75" customHeight="1" thickBot="1">
      <c r="A31" s="604"/>
      <c r="C31" s="654"/>
      <c r="D31" s="657"/>
      <c r="E31" s="45">
        <f>IF($Q$13="","",VLOOKUP($Q$13,'素データ'!$Z$21:$AA$23,2,FALSE))</f>
      </c>
      <c r="F31" s="51">
        <f>$T$13</f>
      </c>
      <c r="G31" s="51">
        <f t="shared" si="13"/>
      </c>
      <c r="H31" s="53">
        <f>$R$13</f>
      </c>
      <c r="I31" s="521">
        <f>IF($Q$19="","",VLOOKUP($Q$19,'素データ'!$Z$21:$AA$23,2,FALSE))</f>
      </c>
      <c r="J31" s="522">
        <f>$T$19</f>
      </c>
      <c r="K31" s="522">
        <f t="shared" si="11"/>
      </c>
      <c r="L31" s="523">
        <f>$R$19</f>
      </c>
      <c r="M31" s="521">
        <f>IF($Q$25="","",VLOOKUP($Q$25,'素データ'!$Z$21:$AA$23,2,FALSE))</f>
      </c>
      <c r="N31" s="522">
        <f>$T$25</f>
      </c>
      <c r="O31" s="522">
        <f t="shared" si="14"/>
      </c>
      <c r="P31" s="523">
        <f>$R$25</f>
      </c>
      <c r="Q31" s="612"/>
      <c r="R31" s="612"/>
      <c r="S31" s="612"/>
      <c r="T31" s="612"/>
      <c r="U31" s="515">
        <f>IF(ISNA(VLOOKUP("DE6",'素データ'!$P:$R,3,FALSE)),"",VLOOKUP("DE6",'素データ'!$P:$R,3,FALSE))</f>
      </c>
      <c r="V31" s="516">
        <f>IF(ISNA(VLOOKUP("DE6",'素データ'!$P:$T,4,FALSE)),"",VLOOKUP("DE6",'素データ'!$P:$T,4,FALSE))</f>
      </c>
      <c r="W31" s="516">
        <f t="shared" si="15"/>
      </c>
      <c r="X31" s="517">
        <f>IF(ISNA(VLOOKUP("DE6",'素データ'!$P:$T,5,FALSE)),"",VLOOKUP("DE6",'素データ'!$P:$T,5,FALSE))</f>
      </c>
      <c r="Y31" s="515">
        <f>IF(ISNA(VLOOKUP("DF6",'素データ'!$P:$R,3,FALSE)),"",VLOOKUP("DF6",'素データ'!$P:$R,3,FALSE))</f>
      </c>
      <c r="Z31" s="516">
        <f>IF(ISNA(VLOOKUP("DF6",'素データ'!$P:$T,4,FALSE)),"",VLOOKUP("DF6",'素データ'!$P:$T,4,FALSE))</f>
      </c>
      <c r="AA31" s="516">
        <f t="shared" si="4"/>
      </c>
      <c r="AB31" s="517">
        <f>IF(ISNA(VLOOKUP("DF6",'素データ'!$P:$T,5,FALSE)),"",VLOOKUP("DF6",'素データ'!$P:$T,5,FALSE))</f>
      </c>
      <c r="AC31" s="133">
        <f>IF(ISNA(VLOOKUP("DG6",'素データ'!$P:$R,3,FALSE)),"",VLOOKUP("DG6",'素データ'!$P:$R,3,FALSE))</f>
      </c>
      <c r="AD31" s="134">
        <f>IF(ISNA(VLOOKUP("DG6",'素データ'!$P:$T,4,FALSE)),"",VLOOKUP("DG6",'素データ'!$P:$T,4,FALSE))</f>
      </c>
      <c r="AE31" s="134">
        <f t="shared" si="5"/>
      </c>
      <c r="AF31" s="135">
        <f>IF(ISNA(VLOOKUP("DG6",'素データ'!$P:$T,5,FALSE)),"",VLOOKUP("DG6",'素データ'!$P:$T,5,FALSE))</f>
      </c>
      <c r="AG31" s="419">
        <f>IF(ISNA(VLOOKUP("DH6",'素データ'!$P:$R,3,FALSE)),"",VLOOKUP("DH6",'素データ'!$P:$R,3,FALSE))</f>
      </c>
      <c r="AH31" s="420">
        <f>IF(ISNA(VLOOKUP("DH6",'素データ'!$P:$T,4,FALSE)),"",VLOOKUP("DH6",'素データ'!$P:$T,4,FALSE))</f>
      </c>
      <c r="AI31" s="420">
        <f t="shared" si="6"/>
      </c>
      <c r="AJ31" s="421">
        <f>IF(ISNA(VLOOKUP("DH6",'素データ'!$P:$T,5,FALSE)),"",VLOOKUP("DH6",'素データ'!$P:$T,5,FALSE))</f>
      </c>
      <c r="AK31" s="640"/>
      <c r="AL31" s="640"/>
      <c r="AM31" s="640"/>
      <c r="AN31" s="640"/>
      <c r="AO31" s="643"/>
      <c r="AP31" s="625"/>
      <c r="AQ31" s="625"/>
      <c r="AR31" s="631"/>
      <c r="AS31" s="456"/>
      <c r="AT31" s="17"/>
      <c r="AU31" s="637"/>
      <c r="AV31" s="634"/>
      <c r="AW31" s="628"/>
    </row>
    <row r="32" spans="1:49" ht="12.75" customHeight="1">
      <c r="A32" s="604">
        <f>AO32+(AL32-AM32)/100000+0.000003</f>
        <v>0.47099299999999994</v>
      </c>
      <c r="B32" s="43"/>
      <c r="C32" s="652" t="str">
        <f>'素データ'!Y11</f>
        <v>E</v>
      </c>
      <c r="D32" s="655" t="str">
        <f>VLOOKUP(C32,'素データ'!Y7:Z14,2,FALSE)</f>
        <v>パイレーツ</v>
      </c>
      <c r="E32" s="49" t="str">
        <f>IF($U$8="","",VLOOKUP($U$8,'素データ'!$Z$21:$AA$23,2,FALSE))</f>
        <v>●</v>
      </c>
      <c r="F32" s="50">
        <f>$X$8</f>
        <v>3</v>
      </c>
      <c r="G32" s="50" t="str">
        <f aca="true" t="shared" si="16" ref="G32:G37">IF(E32="","","－")</f>
        <v>－</v>
      </c>
      <c r="H32" s="52">
        <f>$V$8</f>
        <v>11</v>
      </c>
      <c r="I32" s="518" t="str">
        <f>IF($U$14="","",VLOOKUP($U$14,'素データ'!$Z$21:$AA$23,2,FALSE))</f>
        <v>●</v>
      </c>
      <c r="J32" s="519">
        <f>$X$14</f>
        <v>1</v>
      </c>
      <c r="K32" s="519" t="str">
        <f t="shared" si="11"/>
        <v>－</v>
      </c>
      <c r="L32" s="520">
        <f>$V$14</f>
        <v>12</v>
      </c>
      <c r="M32" s="518" t="str">
        <f>IF($U$20="","",VLOOKUP($U$20,'素データ'!$Z$21:$AA$23,2,FALSE))</f>
        <v>●</v>
      </c>
      <c r="N32" s="519">
        <f>$X$20</f>
        <v>2</v>
      </c>
      <c r="O32" s="519" t="str">
        <f t="shared" si="14"/>
        <v>－</v>
      </c>
      <c r="P32" s="520">
        <f>$V$20</f>
        <v>3</v>
      </c>
      <c r="Q32" s="521" t="str">
        <f>IF($U$26="","",VLOOKUP($U$26,'素データ'!$Z$21:$AA$23,2,FALSE))</f>
        <v>●</v>
      </c>
      <c r="R32" s="522">
        <f>$X$26</f>
        <v>1</v>
      </c>
      <c r="S32" s="522" t="str">
        <f aca="true" t="shared" si="17" ref="S32:S55">IF(Q32="","","－")</f>
        <v>－</v>
      </c>
      <c r="T32" s="523">
        <f>$V$26</f>
        <v>11</v>
      </c>
      <c r="U32" s="605" t="s">
        <v>479</v>
      </c>
      <c r="V32" s="606"/>
      <c r="W32" s="606"/>
      <c r="X32" s="607"/>
      <c r="Y32" s="509" t="str">
        <f>IF(ISNA(VLOOKUP("EF1",'素データ'!$P:$R,3,FALSE)),"",VLOOKUP("EF1",'素データ'!$P:$R,3,FALSE))</f>
        <v>○</v>
      </c>
      <c r="Z32" s="510">
        <f>IF(ISNA(VLOOKUP("EF1",'素データ'!$P:$T,4,FALSE)),"",VLOOKUP("EF1",'素データ'!$P:$T,4,FALSE))</f>
        <v>13</v>
      </c>
      <c r="AA32" s="510" t="str">
        <f aca="true" t="shared" si="18" ref="AA32:AA37">IF(Y32="","","－")</f>
        <v>－</v>
      </c>
      <c r="AB32" s="511">
        <f>IF(ISNA(VLOOKUP("EF1",'素データ'!$P:$T,5,FALSE)),"",VLOOKUP("EF1",'素データ'!$P:$T,5,FALSE))</f>
        <v>3</v>
      </c>
      <c r="AC32" s="128" t="str">
        <f>IF(ISNA(VLOOKUP("EG1",'素データ'!$P:$R,3,FALSE)),"",VLOOKUP("EG1",'素データ'!$P:$R,3,FALSE))</f>
        <v>○</v>
      </c>
      <c r="AD32" s="127">
        <f>IF(ISNA(VLOOKUP("EG1",'素データ'!$P:$T,4,FALSE)),"",VLOOKUP("EG1",'素データ'!$P:$T,4,FALSE))</f>
        <v>20</v>
      </c>
      <c r="AE32" s="127" t="str">
        <f t="shared" si="5"/>
        <v>－</v>
      </c>
      <c r="AF32" s="129">
        <f>IF(ISNA(VLOOKUP("EG1",'素データ'!$P:$T,5,FALSE)),"",VLOOKUP("EG1",'素データ'!$P:$T,5,FALSE))</f>
        <v>1</v>
      </c>
      <c r="AG32" s="413">
        <f>IF(ISNA(VLOOKUP("EH1",'素データ'!$P:$R,3,FALSE)),"",VLOOKUP("EH1",'素データ'!$P:$R,3,FALSE))</f>
      </c>
      <c r="AH32" s="414">
        <f>IF(ISNA(VLOOKUP("EH1",'素データ'!$P:$T,4,FALSE)),"",VLOOKUP("EH1",'素データ'!$P:$T,4,FALSE))</f>
      </c>
      <c r="AI32" s="414">
        <f t="shared" si="6"/>
      </c>
      <c r="AJ32" s="415">
        <f>IF(ISNA(VLOOKUP("EH1",'素データ'!$P:$T,5,FALSE)),"",VLOOKUP("EH1",'素データ'!$P:$T,5,FALSE))</f>
      </c>
      <c r="AK32" s="638">
        <f>SUM(AL32:AN32)</f>
        <v>18</v>
      </c>
      <c r="AL32" s="638">
        <f>COUNTIF(E32:AG37,"○")</f>
        <v>8</v>
      </c>
      <c r="AM32" s="638">
        <f>COUNTIF(E32:AG37,"●")</f>
        <v>9</v>
      </c>
      <c r="AN32" s="638">
        <f>COUNTIF(E32:AG37,"△")</f>
        <v>1</v>
      </c>
      <c r="AO32" s="641">
        <f>ROUND(AL32/(AL32+AM32),3)</f>
        <v>0.471</v>
      </c>
      <c r="AP32" s="623">
        <f>SUM(F32:F37)+SUM(J32:J37)+SUM(N32:N37)+SUM(R32:R37)+SUM(Z32:Z37)+SUM(AD32:AD37)+SUM(AH32:AH37)</f>
        <v>120</v>
      </c>
      <c r="AQ32" s="623">
        <f>SUM(H32:H37)+SUM(L32:L37)+SUM(P32:P37)+SUM(T32:T37)+SUM(AB32:AB37)+SUM(AF32:AF37)+SUM(AJ32:AJ37)</f>
        <v>100</v>
      </c>
      <c r="AR32" s="629">
        <f>RANK(AO32,$AO$8:$AO$49,0)</f>
        <v>5</v>
      </c>
      <c r="AS32" s="456"/>
      <c r="AT32" s="17"/>
      <c r="AU32" s="635" t="str">
        <f>IF(AL32=((DCOUNTA('素データ'!$F$5:$L$69,"試合結果",criteria!B49:H50))+(DCOUNTA('素データ'!$F$5:$L$69,"試合結果",criteria!B51:H52))),"OK","NG")</f>
        <v>OK</v>
      </c>
      <c r="AV32" s="632" t="str">
        <f>IF(AM32=((DCOUNTA('素データ'!$F$5:$L$69,"試合結果",criteria!B53:H54))+(DCOUNTA('素データ'!$F$5:$L$69,"試合結果",criteria!B55:H56))),"OK","NG")</f>
        <v>OK</v>
      </c>
      <c r="AW32" s="626" t="str">
        <f>IF(AN32=((DCOUNTA('素データ'!$F$5:$L$69,"試合結果",criteria!B57:H58))+(DCOUNTA('素データ'!$F$5:$L$69,"試合結果",criteria!B59:H60))),"OK","NG")</f>
        <v>OK</v>
      </c>
    </row>
    <row r="33" spans="1:49" ht="12.75" customHeight="1">
      <c r="A33" s="604"/>
      <c r="B33" s="43"/>
      <c r="C33" s="653"/>
      <c r="D33" s="656"/>
      <c r="E33" s="49" t="str">
        <f>IF($U$9="","",VLOOKUP($U$9,'素データ'!$Z$21:$AA$23,2,FALSE))</f>
        <v>●</v>
      </c>
      <c r="F33" s="50">
        <f>$X$9</f>
        <v>0</v>
      </c>
      <c r="G33" s="50" t="str">
        <f t="shared" si="16"/>
        <v>－</v>
      </c>
      <c r="H33" s="52">
        <f>$V$9</f>
        <v>4</v>
      </c>
      <c r="I33" s="521" t="str">
        <f>IF($U$15="","",VLOOKUP($U$15,'素データ'!$Z$21:$AA$23,2,FALSE))</f>
        <v>●</v>
      </c>
      <c r="J33" s="522">
        <f>$X$15</f>
        <v>2</v>
      </c>
      <c r="K33" s="522" t="str">
        <f t="shared" si="11"/>
        <v>－</v>
      </c>
      <c r="L33" s="523">
        <f>$V$15</f>
        <v>5</v>
      </c>
      <c r="M33" s="521" t="str">
        <f>IF($U$21="","",VLOOKUP($U$21,'素データ'!$Z$21:$AA$23,2,FALSE))</f>
        <v>○</v>
      </c>
      <c r="N33" s="522">
        <f>$X$21</f>
        <v>6</v>
      </c>
      <c r="O33" s="522" t="str">
        <f t="shared" si="14"/>
        <v>－</v>
      </c>
      <c r="P33" s="523">
        <f>$V$21</f>
        <v>4</v>
      </c>
      <c r="Q33" s="521" t="str">
        <f>IF($U$27="","",VLOOKUP($U$27,'素データ'!$Z$21:$AA$23,2,FALSE))</f>
        <v>○</v>
      </c>
      <c r="R33" s="522">
        <f>$X$27</f>
        <v>6</v>
      </c>
      <c r="S33" s="522" t="str">
        <f t="shared" si="17"/>
        <v>－</v>
      </c>
      <c r="T33" s="523">
        <f>$V$27</f>
        <v>0</v>
      </c>
      <c r="U33" s="608"/>
      <c r="V33" s="609"/>
      <c r="W33" s="609"/>
      <c r="X33" s="610"/>
      <c r="Y33" s="512" t="str">
        <f>IF(ISNA(VLOOKUP("EF2",'素データ'!$P:$R,3,FALSE)),"",VLOOKUP("EF2",'素データ'!$P:$R,3,FALSE))</f>
        <v>○</v>
      </c>
      <c r="Z33" s="513">
        <f>IF(ISNA(VLOOKUP("EF2",'素データ'!$P:$T,4,FALSE)),"",VLOOKUP("EF2",'素データ'!$P:$T,4,FALSE))</f>
        <v>16</v>
      </c>
      <c r="AA33" s="513" t="str">
        <f t="shared" si="18"/>
        <v>－</v>
      </c>
      <c r="AB33" s="514">
        <f>IF(ISNA(VLOOKUP("EF2",'素データ'!$P:$T,5,FALSE)),"",VLOOKUP("EF2",'素データ'!$P:$T,5,FALSE))</f>
        <v>3</v>
      </c>
      <c r="AC33" s="131" t="str">
        <f>IF(ISNA(VLOOKUP("EG2",'素データ'!$P:$R,3,FALSE)),"",VLOOKUP("EG2",'素データ'!$P:$R,3,FALSE))</f>
        <v>○</v>
      </c>
      <c r="AD33" s="130">
        <f>IF(ISNA(VLOOKUP("EG2",'素データ'!$P:$T,4,FALSE)),"",VLOOKUP("EG2",'素データ'!$P:$T,4,FALSE))</f>
        <v>14</v>
      </c>
      <c r="AE33" s="130" t="str">
        <f t="shared" si="5"/>
        <v>－</v>
      </c>
      <c r="AF33" s="132">
        <f>IF(ISNA(VLOOKUP("EG2",'素データ'!$P:$T,5,FALSE)),"",VLOOKUP("EG2",'素データ'!$P:$T,5,FALSE))</f>
        <v>5</v>
      </c>
      <c r="AG33" s="416">
        <f>IF(ISNA(VLOOKUP("EH2",'素データ'!$P:$R,3,FALSE)),"",VLOOKUP("EH2",'素データ'!$P:$R,3,FALSE))</f>
      </c>
      <c r="AH33" s="417">
        <f>IF(ISNA(VLOOKUP("EH2",'素データ'!$P:$T,4,FALSE)),"",VLOOKUP("EH2",'素データ'!$P:$T,4,FALSE))</f>
      </c>
      <c r="AI33" s="417">
        <f t="shared" si="6"/>
      </c>
      <c r="AJ33" s="418">
        <f>IF(ISNA(VLOOKUP("EH2",'素データ'!$P:$T,5,FALSE)),"",VLOOKUP("EH2",'素データ'!$P:$T,5,FALSE))</f>
      </c>
      <c r="AK33" s="639"/>
      <c r="AL33" s="639"/>
      <c r="AM33" s="639"/>
      <c r="AN33" s="639"/>
      <c r="AO33" s="642"/>
      <c r="AP33" s="624"/>
      <c r="AQ33" s="624"/>
      <c r="AR33" s="630"/>
      <c r="AS33" s="456"/>
      <c r="AT33" s="17"/>
      <c r="AU33" s="636"/>
      <c r="AV33" s="633"/>
      <c r="AW33" s="627"/>
    </row>
    <row r="34" spans="1:49" ht="12.75" customHeight="1">
      <c r="A34" s="604"/>
      <c r="B34" s="43"/>
      <c r="C34" s="653"/>
      <c r="D34" s="656"/>
      <c r="E34" s="49" t="str">
        <f>IF($U$10="","",VLOOKUP($U$10,'素データ'!$Z$21:$AA$23,2,FALSE))</f>
        <v>●</v>
      </c>
      <c r="F34" s="50">
        <f>$X$10</f>
        <v>1</v>
      </c>
      <c r="G34" s="50" t="str">
        <f t="shared" si="16"/>
        <v>－</v>
      </c>
      <c r="H34" s="52">
        <f>$V$10</f>
        <v>8</v>
      </c>
      <c r="I34" s="521" t="str">
        <f>IF($U$16="","",VLOOKUP($U$16,'素データ'!$Z$21:$AA$23,2,FALSE))</f>
        <v>●</v>
      </c>
      <c r="J34" s="522">
        <f>$X$16</f>
        <v>5</v>
      </c>
      <c r="K34" s="522" t="str">
        <f t="shared" si="11"/>
        <v>－</v>
      </c>
      <c r="L34" s="523">
        <f>$V$16</f>
        <v>12</v>
      </c>
      <c r="M34" s="521" t="str">
        <f>IF($U$22="","",VLOOKUP($U$22,'素データ'!$Z$21:$AA$23,2,FALSE))</f>
        <v>●</v>
      </c>
      <c r="N34" s="522">
        <f>$X$22</f>
        <v>2</v>
      </c>
      <c r="O34" s="522" t="str">
        <f t="shared" si="14"/>
        <v>－</v>
      </c>
      <c r="P34" s="523">
        <f>$V$22</f>
        <v>6</v>
      </c>
      <c r="Q34" s="521" t="str">
        <f>IF($U$28="","",VLOOKUP($U$28,'素データ'!$Z$21:$AA$23,2,FALSE))</f>
        <v>△</v>
      </c>
      <c r="R34" s="522">
        <f>$X$28</f>
        <v>6</v>
      </c>
      <c r="S34" s="522" t="str">
        <f t="shared" si="17"/>
        <v>－</v>
      </c>
      <c r="T34" s="523">
        <f>$V$28</f>
        <v>6</v>
      </c>
      <c r="U34" s="608"/>
      <c r="V34" s="609"/>
      <c r="W34" s="609"/>
      <c r="X34" s="610"/>
      <c r="Y34" s="512" t="str">
        <f>IF(ISNA(VLOOKUP("EF3",'素データ'!$P:$R,3,FALSE)),"",VLOOKUP("EF3",'素データ'!$P:$R,3,FALSE))</f>
        <v>○</v>
      </c>
      <c r="Z34" s="513">
        <f>IF(ISNA(VLOOKUP("EF3",'素データ'!$P:$T,4,FALSE)),"",VLOOKUP("EF3",'素データ'!$P:$T,4,FALSE))</f>
        <v>11</v>
      </c>
      <c r="AA34" s="513" t="str">
        <f t="shared" si="18"/>
        <v>－</v>
      </c>
      <c r="AB34" s="514">
        <f>IF(ISNA(VLOOKUP("EF3",'素データ'!$P:$T,5,FALSE)),"",VLOOKUP("EF3",'素データ'!$P:$T,5,FALSE))</f>
        <v>2</v>
      </c>
      <c r="AC34" s="131" t="str">
        <f>IF(ISNA(VLOOKUP("EG3",'素データ'!$P:$R,3,FALSE)),"",VLOOKUP("EG3",'素データ'!$P:$R,3,FALSE))</f>
        <v>○</v>
      </c>
      <c r="AD34" s="130">
        <f>IF(ISNA(VLOOKUP("EG3",'素データ'!$P:$T,4,FALSE)),"",VLOOKUP("EG3",'素データ'!$P:$T,4,FALSE))</f>
        <v>11</v>
      </c>
      <c r="AE34" s="130" t="str">
        <f t="shared" si="5"/>
        <v>－</v>
      </c>
      <c r="AF34" s="132">
        <f>IF(ISNA(VLOOKUP("EG3",'素データ'!$P:$T,5,FALSE)),"",VLOOKUP("EG3",'素データ'!$P:$T,5,FALSE))</f>
        <v>4</v>
      </c>
      <c r="AG34" s="416">
        <f>IF(ISNA(VLOOKUP("EH3",'素データ'!$P:$R,3,FALSE)),"",VLOOKUP("EH3",'素データ'!$P:$R,3,FALSE))</f>
      </c>
      <c r="AH34" s="417">
        <f>IF(ISNA(VLOOKUP("EH3",'素データ'!$P:$T,4,FALSE)),"",VLOOKUP("EH3",'素データ'!$P:$T,4,FALSE))</f>
      </c>
      <c r="AI34" s="417">
        <f t="shared" si="6"/>
      </c>
      <c r="AJ34" s="418">
        <f>IF(ISNA(VLOOKUP("EH3",'素データ'!$P:$T,5,FALSE)),"",VLOOKUP("EH3",'素データ'!$P:$T,5,FALSE))</f>
      </c>
      <c r="AK34" s="639"/>
      <c r="AL34" s="639"/>
      <c r="AM34" s="639"/>
      <c r="AN34" s="639"/>
      <c r="AO34" s="642"/>
      <c r="AP34" s="624"/>
      <c r="AQ34" s="624"/>
      <c r="AR34" s="630"/>
      <c r="AS34" s="456"/>
      <c r="AT34" s="17"/>
      <c r="AU34" s="636"/>
      <c r="AV34" s="633"/>
      <c r="AW34" s="627"/>
    </row>
    <row r="35" spans="1:49" ht="12.75" customHeight="1">
      <c r="A35" s="604"/>
      <c r="B35" s="43"/>
      <c r="C35" s="653"/>
      <c r="D35" s="656"/>
      <c r="E35" s="49">
        <f>IF($U$11="","",VLOOKUP($U$11,'素データ'!$Z$21:$AA$23,2,FALSE))</f>
      </c>
      <c r="F35" s="50">
        <f>$X$11</f>
      </c>
      <c r="G35" s="50">
        <f t="shared" si="16"/>
      </c>
      <c r="H35" s="52">
        <f>$V$11</f>
      </c>
      <c r="I35" s="521">
        <f>IF($U$17="","",VLOOKUP($U$17,'素データ'!$Z$21:$AA$23,2,FALSE))</f>
      </c>
      <c r="J35" s="522">
        <f>$X$17</f>
      </c>
      <c r="K35" s="522">
        <f t="shared" si="11"/>
      </c>
      <c r="L35" s="523">
        <f>$V$17</f>
      </c>
      <c r="M35" s="521">
        <f>IF($U$23="","",VLOOKUP($U$23,'素データ'!$Z$21:$AA$23,2,FALSE))</f>
      </c>
      <c r="N35" s="522">
        <f>$X$23</f>
      </c>
      <c r="O35" s="522">
        <f t="shared" si="14"/>
      </c>
      <c r="P35" s="523">
        <f>$V$23</f>
      </c>
      <c r="Q35" s="521">
        <f>IF($U$29="","",VLOOKUP($U$29,'素データ'!$Z$21:$AA$23,2,FALSE))</f>
      </c>
      <c r="R35" s="522">
        <f>$X$29</f>
      </c>
      <c r="S35" s="522">
        <f t="shared" si="17"/>
      </c>
      <c r="T35" s="523">
        <f>$V$29</f>
      </c>
      <c r="U35" s="608"/>
      <c r="V35" s="609"/>
      <c r="W35" s="609"/>
      <c r="X35" s="610"/>
      <c r="Y35" s="512">
        <f>IF(ISNA(VLOOKUP("EF4",'素データ'!$P:$R,3,FALSE)),"",VLOOKUP("EF4",'素データ'!$P:$R,3,FALSE))</f>
      </c>
      <c r="Z35" s="513">
        <f>IF(ISNA(VLOOKUP("EF4",'素データ'!$P:$T,4,FALSE)),"",VLOOKUP("EF4",'素データ'!$P:$T,4,FALSE))</f>
      </c>
      <c r="AA35" s="513">
        <f t="shared" si="18"/>
      </c>
      <c r="AB35" s="514">
        <f>IF(ISNA(VLOOKUP("EF4",'素データ'!$P:$T,5,FALSE)),"",VLOOKUP("EF4",'素データ'!$P:$T,5,FALSE))</f>
      </c>
      <c r="AC35" s="131">
        <f>IF(ISNA(VLOOKUP("EG4",'素データ'!$P:$R,3,FALSE)),"",VLOOKUP("EG4",'素データ'!$P:$R,3,FALSE))</f>
      </c>
      <c r="AD35" s="130">
        <f>IF(ISNA(VLOOKUP("EG4",'素データ'!$P:$T,4,FALSE)),"",VLOOKUP("EG4",'素データ'!$P:$T,4,FALSE))</f>
      </c>
      <c r="AE35" s="130">
        <f t="shared" si="5"/>
      </c>
      <c r="AF35" s="132">
        <f>IF(ISNA(VLOOKUP("EG4",'素データ'!$P:$T,5,FALSE)),"",VLOOKUP("EG4",'素データ'!$P:$T,5,FALSE))</f>
      </c>
      <c r="AG35" s="416">
        <f>IF(ISNA(VLOOKUP("EH4",'素データ'!$P:$R,3,FALSE)),"",VLOOKUP("EH4",'素データ'!$P:$R,3,FALSE))</f>
      </c>
      <c r="AH35" s="417">
        <f>IF(ISNA(VLOOKUP("EH4",'素データ'!$P:$T,4,FALSE)),"",VLOOKUP("EH4",'素データ'!$P:$T,4,FALSE))</f>
      </c>
      <c r="AI35" s="417">
        <f t="shared" si="6"/>
      </c>
      <c r="AJ35" s="418">
        <f>IF(ISNA(VLOOKUP("EH4",'素データ'!$P:$T,5,FALSE)),"",VLOOKUP("EH4",'素データ'!$P:$T,5,FALSE))</f>
      </c>
      <c r="AK35" s="639"/>
      <c r="AL35" s="639"/>
      <c r="AM35" s="639"/>
      <c r="AN35" s="639"/>
      <c r="AO35" s="642"/>
      <c r="AP35" s="624"/>
      <c r="AQ35" s="624"/>
      <c r="AR35" s="630"/>
      <c r="AS35" s="456"/>
      <c r="AT35" s="17"/>
      <c r="AU35" s="636"/>
      <c r="AV35" s="633"/>
      <c r="AW35" s="627"/>
    </row>
    <row r="36" spans="1:49" ht="12.75" customHeight="1">
      <c r="A36" s="604"/>
      <c r="B36" s="43"/>
      <c r="C36" s="653"/>
      <c r="D36" s="656"/>
      <c r="E36" s="49">
        <f>IF($U$12="","",VLOOKUP($U$12,'素データ'!$Z$21:$AA$23,2,FALSE))</f>
      </c>
      <c r="F36" s="50">
        <f>$X$12</f>
      </c>
      <c r="G36" s="50">
        <f t="shared" si="16"/>
      </c>
      <c r="H36" s="52">
        <f>$V$12</f>
      </c>
      <c r="I36" s="521">
        <f>IF($U$18="","",VLOOKUP($U$18,'素データ'!$Z$21:$AA$23,2,FALSE))</f>
      </c>
      <c r="J36" s="522">
        <f>$X$18</f>
      </c>
      <c r="K36" s="522">
        <f t="shared" si="11"/>
      </c>
      <c r="L36" s="523">
        <f>$V$18</f>
      </c>
      <c r="M36" s="521">
        <f>IF($U$24="","",VLOOKUP($U$24,'素データ'!$Z$21:$AA$23,2,FALSE))</f>
      </c>
      <c r="N36" s="522">
        <f>$X$24</f>
      </c>
      <c r="O36" s="522">
        <f t="shared" si="14"/>
      </c>
      <c r="P36" s="523">
        <f>$V$24</f>
      </c>
      <c r="Q36" s="521">
        <f>IF($U$30="","",VLOOKUP($U$30,'素データ'!$Z$21:$AA$23,2,FALSE))</f>
      </c>
      <c r="R36" s="522">
        <f>$X$30</f>
      </c>
      <c r="S36" s="522">
        <f t="shared" si="17"/>
      </c>
      <c r="T36" s="523">
        <f>$V$30</f>
      </c>
      <c r="U36" s="608"/>
      <c r="V36" s="609"/>
      <c r="W36" s="609"/>
      <c r="X36" s="610"/>
      <c r="Y36" s="512">
        <f>IF(ISNA(VLOOKUP("EF5",'素データ'!$P:$R,3,FALSE)),"",VLOOKUP("EF5",'素データ'!$P:$R,3,FALSE))</f>
      </c>
      <c r="Z36" s="513">
        <f>IF(ISNA(VLOOKUP("EF5",'素データ'!$P:$T,4,FALSE)),"",VLOOKUP("EF5",'素データ'!$P:$T,4,FALSE))</f>
      </c>
      <c r="AA36" s="513">
        <f t="shared" si="18"/>
      </c>
      <c r="AB36" s="514">
        <f>IF(ISNA(VLOOKUP("EF5",'素データ'!$P:$T,5,FALSE)),"",VLOOKUP("EF5",'素データ'!$P:$T,5,FALSE))</f>
      </c>
      <c r="AC36" s="131">
        <f>IF(ISNA(VLOOKUP("EG5",'素データ'!$P:$R,3,FALSE)),"",VLOOKUP("EG5",'素データ'!$P:$R,3,FALSE))</f>
      </c>
      <c r="AD36" s="130">
        <f>IF(ISNA(VLOOKUP("EG5",'素データ'!$P:$T,4,FALSE)),"",VLOOKUP("EG5",'素データ'!$P:$T,4,FALSE))</f>
      </c>
      <c r="AE36" s="130">
        <f t="shared" si="5"/>
      </c>
      <c r="AF36" s="132">
        <f>IF(ISNA(VLOOKUP("EG5",'素データ'!$P:$T,5,FALSE)),"",VLOOKUP("EG5",'素データ'!$P:$T,5,FALSE))</f>
      </c>
      <c r="AG36" s="416">
        <f>IF(ISNA(VLOOKUP("EH5",'素データ'!$P:$R,3,FALSE)),"",VLOOKUP("EH5",'素データ'!$P:$R,3,FALSE))</f>
      </c>
      <c r="AH36" s="417">
        <f>IF(ISNA(VLOOKUP("EH5",'素データ'!$P:$T,4,FALSE)),"",VLOOKUP("EH5",'素データ'!$P:$T,4,FALSE))</f>
      </c>
      <c r="AI36" s="417">
        <f t="shared" si="6"/>
      </c>
      <c r="AJ36" s="418">
        <f>IF(ISNA(VLOOKUP("EH5",'素データ'!$P:$T,5,FALSE)),"",VLOOKUP("EH5",'素データ'!$P:$T,5,FALSE))</f>
      </c>
      <c r="AK36" s="639"/>
      <c r="AL36" s="639"/>
      <c r="AM36" s="639"/>
      <c r="AN36" s="639"/>
      <c r="AO36" s="642"/>
      <c r="AP36" s="624"/>
      <c r="AQ36" s="624"/>
      <c r="AR36" s="630"/>
      <c r="AS36" s="456"/>
      <c r="AT36" s="17"/>
      <c r="AU36" s="636"/>
      <c r="AV36" s="633"/>
      <c r="AW36" s="627"/>
    </row>
    <row r="37" spans="1:49" ht="12.75" customHeight="1" thickBot="1">
      <c r="A37" s="604"/>
      <c r="B37" s="43"/>
      <c r="C37" s="654"/>
      <c r="D37" s="657"/>
      <c r="E37" s="49">
        <f>IF($U$13="","",VLOOKUP($U$13,'素データ'!$Z$21:$AA$23,2,FALSE))</f>
      </c>
      <c r="F37" s="50">
        <f>$X$13</f>
      </c>
      <c r="G37" s="50">
        <f t="shared" si="16"/>
      </c>
      <c r="H37" s="52">
        <f>$V$13</f>
      </c>
      <c r="I37" s="524">
        <f>IF($U$19="","",VLOOKUP($U$19,'素データ'!$Z$21:$AA$23,2,FALSE))</f>
      </c>
      <c r="J37" s="525">
        <f>$X$19</f>
      </c>
      <c r="K37" s="525">
        <f t="shared" si="11"/>
      </c>
      <c r="L37" s="526">
        <f>$V$19</f>
      </c>
      <c r="M37" s="524">
        <f>IF($U$25="","",VLOOKUP($U$25,'素データ'!$Z$21:$AA$23,2,FALSE))</f>
      </c>
      <c r="N37" s="525">
        <f>$X$25</f>
      </c>
      <c r="O37" s="525">
        <f t="shared" si="14"/>
      </c>
      <c r="P37" s="526">
        <f>$V$25</f>
      </c>
      <c r="Q37" s="521">
        <f>IF($U$31="","",VLOOKUP($U$31,'素データ'!$Z$21:$AA$23,2,FALSE))</f>
      </c>
      <c r="R37" s="522">
        <f>$X$31</f>
      </c>
      <c r="S37" s="522">
        <f t="shared" si="17"/>
      </c>
      <c r="T37" s="523">
        <f>$V$31</f>
      </c>
      <c r="U37" s="611"/>
      <c r="V37" s="612"/>
      <c r="W37" s="612"/>
      <c r="X37" s="613"/>
      <c r="Y37" s="515">
        <f>IF(ISNA(VLOOKUP("EF6",'素データ'!$P:$R,3,FALSE)),"",VLOOKUP("EF6",'素データ'!$P:$R,3,FALSE))</f>
      </c>
      <c r="Z37" s="516">
        <f>IF(ISNA(VLOOKUP("EF6",'素データ'!$P:$T,4,FALSE)),"",VLOOKUP("EF6",'素データ'!$P:$T,4,FALSE))</f>
      </c>
      <c r="AA37" s="516">
        <f t="shared" si="18"/>
      </c>
      <c r="AB37" s="517">
        <f>IF(ISNA(VLOOKUP("EF6",'素データ'!$P:$T,5,FALSE)),"",VLOOKUP("EF6",'素データ'!$P:$T,5,FALSE))</f>
      </c>
      <c r="AC37" s="133">
        <f>IF(ISNA(VLOOKUP("EG6",'素データ'!$P:$R,3,FALSE)),"",VLOOKUP("EG6",'素データ'!$P:$R,3,FALSE))</f>
      </c>
      <c r="AD37" s="134">
        <f>IF(ISNA(VLOOKUP("EG6",'素データ'!$P:$T,4,FALSE)),"",VLOOKUP("EG6",'素データ'!$P:$T,4,FALSE))</f>
      </c>
      <c r="AE37" s="134">
        <f t="shared" si="5"/>
      </c>
      <c r="AF37" s="135">
        <f>IF(ISNA(VLOOKUP("EG6",'素データ'!$P:$T,5,FALSE)),"",VLOOKUP("EG6",'素データ'!$P:$T,5,FALSE))</f>
      </c>
      <c r="AG37" s="419">
        <f>IF(ISNA(VLOOKUP("EH6",'素データ'!$P:$R,3,FALSE)),"",VLOOKUP("EH6",'素データ'!$P:$R,3,FALSE))</f>
      </c>
      <c r="AH37" s="420">
        <f>IF(ISNA(VLOOKUP("EH6",'素データ'!$P:$T,4,FALSE)),"",VLOOKUP("EH6",'素データ'!$P:$T,4,FALSE))</f>
      </c>
      <c r="AI37" s="420">
        <f t="shared" si="6"/>
      </c>
      <c r="AJ37" s="421">
        <f>IF(ISNA(VLOOKUP("EH6",'素データ'!$P:$T,5,FALSE)),"",VLOOKUP("EH6",'素データ'!$P:$T,5,FALSE))</f>
      </c>
      <c r="AK37" s="640"/>
      <c r="AL37" s="640"/>
      <c r="AM37" s="640"/>
      <c r="AN37" s="640"/>
      <c r="AO37" s="643"/>
      <c r="AP37" s="625"/>
      <c r="AQ37" s="625"/>
      <c r="AR37" s="631"/>
      <c r="AS37" s="456"/>
      <c r="AT37" s="17"/>
      <c r="AU37" s="637"/>
      <c r="AV37" s="634"/>
      <c r="AW37" s="628"/>
    </row>
    <row r="38" spans="1:49" ht="12.75" customHeight="1">
      <c r="A38" s="604">
        <f>AO38+(AL38-AM38)/100000+0.000002</f>
        <v>0.110862</v>
      </c>
      <c r="B38" s="43"/>
      <c r="C38" s="652" t="str">
        <f>'素データ'!Y12</f>
        <v>F</v>
      </c>
      <c r="D38" s="655" t="str">
        <f>VLOOKUP(C38,'素データ'!Y7:Z14,2,FALSE)</f>
        <v>ベアーズ</v>
      </c>
      <c r="E38" s="44" t="str">
        <f>IF($Y$8="","",VLOOKUP($Y$8,'素データ'!$Z$21:$AA$23,2,FALSE))</f>
        <v>●</v>
      </c>
      <c r="F38" s="47">
        <f>$AB$8</f>
        <v>4</v>
      </c>
      <c r="G38" s="47" t="str">
        <f aca="true" t="shared" si="19" ref="G38:G43">IF(E38="","","－")</f>
        <v>－</v>
      </c>
      <c r="H38" s="48">
        <f>$Z$8</f>
        <v>22</v>
      </c>
      <c r="I38" s="518" t="str">
        <f>IF($Y$14="","",VLOOKUP($Y$14,'素データ'!$Z$21:$AA$23,2,FALSE))</f>
        <v>●</v>
      </c>
      <c r="J38" s="519">
        <f>$AB$14</f>
        <v>1</v>
      </c>
      <c r="K38" s="519" t="str">
        <f t="shared" si="11"/>
        <v>－</v>
      </c>
      <c r="L38" s="520">
        <f>$Z$14</f>
        <v>19</v>
      </c>
      <c r="M38" s="518" t="str">
        <f>IF($Y$20="","",VLOOKUP($Y$20,'素データ'!$Z$21:$AA$23,2,FALSE))</f>
        <v>●</v>
      </c>
      <c r="N38" s="519">
        <f>$AB$20</f>
        <v>0</v>
      </c>
      <c r="O38" s="519" t="str">
        <f t="shared" si="14"/>
        <v>－</v>
      </c>
      <c r="P38" s="520">
        <f>$Z$20</f>
        <v>14</v>
      </c>
      <c r="Q38" s="518" t="str">
        <f>IF($Y$26="","",VLOOKUP($Y$26,'素データ'!$Z$21:$AA$23,2,FALSE))</f>
        <v>●</v>
      </c>
      <c r="R38" s="519">
        <f>$AB$26</f>
        <v>0</v>
      </c>
      <c r="S38" s="519" t="str">
        <f t="shared" si="17"/>
        <v>－</v>
      </c>
      <c r="T38" s="520">
        <f>$Z$26</f>
        <v>10</v>
      </c>
      <c r="U38" s="518" t="str">
        <f>IF($Y$32="","",VLOOKUP($Y$32,'素データ'!$Z$21:$AA$23,2,FALSE))</f>
        <v>●</v>
      </c>
      <c r="V38" s="519">
        <f>$AB$32</f>
        <v>3</v>
      </c>
      <c r="W38" s="519" t="str">
        <f aca="true" t="shared" si="20" ref="W38:W55">IF(U38="","","－")</f>
        <v>－</v>
      </c>
      <c r="X38" s="520">
        <f>$Z$32</f>
        <v>13</v>
      </c>
      <c r="Y38" s="605" t="s">
        <v>479</v>
      </c>
      <c r="Z38" s="606"/>
      <c r="AA38" s="606"/>
      <c r="AB38" s="607"/>
      <c r="AC38" s="128" t="str">
        <f>IF(ISNA(VLOOKUP("FG1",'素データ'!$P:$R,3,FALSE)),"",VLOOKUP("FG1",'素データ'!$P:$R,3,FALSE))</f>
        <v>○</v>
      </c>
      <c r="AD38" s="127">
        <f>IF(ISNA(VLOOKUP("FG1",'素データ'!$P:$T,4,FALSE)),"",VLOOKUP("FG1",'素データ'!$P:$T,4,FALSE))</f>
        <v>9</v>
      </c>
      <c r="AE38" s="127" t="str">
        <f t="shared" si="5"/>
        <v>－</v>
      </c>
      <c r="AF38" s="129">
        <f>IF(ISNA(VLOOKUP("FG1",'素データ'!$P:$T,5,FALSE)),"",VLOOKUP("FG1",'素データ'!$P:$T,5,FALSE))</f>
        <v>8</v>
      </c>
      <c r="AG38" s="413">
        <f>IF(ISNA(VLOOKUP("FH1",'素データ'!$P:$R,3,FALSE)),"",VLOOKUP("FH1",'素データ'!$P:$R,3,FALSE))</f>
      </c>
      <c r="AH38" s="414">
        <f>IF(ISNA(VLOOKUP("FH1",'素データ'!$P:$T,4,FALSE)),"",VLOOKUP("FH1",'素データ'!$P:$T,4,FALSE))</f>
      </c>
      <c r="AI38" s="414">
        <f t="shared" si="6"/>
      </c>
      <c r="AJ38" s="415">
        <f>IF(ISNA(VLOOKUP("FH1",'素データ'!$P:$T,5,FALSE)),"",VLOOKUP("FH1",'素データ'!$P:$T,5,FALSE))</f>
      </c>
      <c r="AK38" s="638">
        <f>SUM(AL38:AN38)</f>
        <v>18</v>
      </c>
      <c r="AL38" s="638">
        <f>COUNTIF(E38:AG43,"○")</f>
        <v>2</v>
      </c>
      <c r="AM38" s="638">
        <f>COUNTIF(E38:AG43,"●")</f>
        <v>16</v>
      </c>
      <c r="AN38" s="638">
        <f>COUNTIF(E38:AG43,"△")</f>
        <v>0</v>
      </c>
      <c r="AO38" s="641">
        <f>ROUND(AL38/(AL38+AM38),3)</f>
        <v>0.111</v>
      </c>
      <c r="AP38" s="623">
        <f>SUM(F38:F43)+SUM(J38:J43)+SUM(N38:N43)+SUM(R38:R43)+SUM(V38:V43)+SUM(AD38:AD43)+SUM(AH38:AH43)</f>
        <v>48</v>
      </c>
      <c r="AQ38" s="623">
        <f>SUM(H38:H43)+SUM(L38:L43)+SUM(P38:P43)+SUM(T38:T43)+SUM(X38:X43)+SUM(AF38:AF43)+SUM(AJ38:AJ43)</f>
        <v>239</v>
      </c>
      <c r="AR38" s="629">
        <f>RANK(AO38,$AO$8:$AO$49,0)</f>
        <v>6</v>
      </c>
      <c r="AS38" s="456"/>
      <c r="AT38" s="17"/>
      <c r="AU38" s="635" t="str">
        <f>IF(AL38=((DCOUNTA('素データ'!$F$5:$L$69,"試合結果",criteria!B61:H62))+(DCOUNTA('素データ'!$F$5:$L$69,"試合結果",criteria!B63:H64))),"OK","NG")</f>
        <v>OK</v>
      </c>
      <c r="AV38" s="632" t="str">
        <f>IF(AM38=((DCOUNTA('素データ'!$F$5:$L$69,"試合結果",criteria!B65:H66))+(DCOUNTA('素データ'!$F$5:$L$69,"試合結果",criteria!B67:H68))),"OK","NG")</f>
        <v>OK</v>
      </c>
      <c r="AW38" s="626" t="str">
        <f>IF(AN38=((DCOUNTA('素データ'!$F$5:$L$69,"試合結果",criteria!B69:H70))+(DCOUNTA('素データ'!$F$5:$L$69,"試合結果",criteria!B71:H72))),"OK","NG")</f>
        <v>OK</v>
      </c>
    </row>
    <row r="39" spans="1:49" ht="12.75" customHeight="1">
      <c r="A39" s="604"/>
      <c r="B39" s="43"/>
      <c r="C39" s="653"/>
      <c r="D39" s="656"/>
      <c r="E39" s="49" t="str">
        <f>IF($Y$9="","",VLOOKUP($Y$9,'素データ'!$Z$21:$AA$23,2,FALSE))</f>
        <v>●</v>
      </c>
      <c r="F39" s="50">
        <f>$AB$9</f>
        <v>1</v>
      </c>
      <c r="G39" s="50" t="str">
        <f t="shared" si="19"/>
        <v>－</v>
      </c>
      <c r="H39" s="52">
        <f>$Z$9</f>
        <v>17</v>
      </c>
      <c r="I39" s="521" t="str">
        <f>IF($Y$15="","",VLOOKUP($Y$15,'素データ'!$Z$21:$AA$23,2,FALSE))</f>
        <v>●</v>
      </c>
      <c r="J39" s="522">
        <f>$AB$15</f>
        <v>0</v>
      </c>
      <c r="K39" s="522" t="str">
        <f t="shared" si="11"/>
        <v>－</v>
      </c>
      <c r="L39" s="523">
        <f>$Z$15</f>
        <v>15</v>
      </c>
      <c r="M39" s="521" t="str">
        <f>IF($Y$21="","",VLOOKUP($Y$21,'素データ'!$Z$21:$AA$23,2,FALSE))</f>
        <v>●</v>
      </c>
      <c r="N39" s="522">
        <f>$AB$21</f>
        <v>2</v>
      </c>
      <c r="O39" s="522" t="str">
        <f t="shared" si="14"/>
        <v>－</v>
      </c>
      <c r="P39" s="523">
        <f>$Z$21</f>
        <v>16</v>
      </c>
      <c r="Q39" s="521" t="str">
        <f>IF($Y$27="","",VLOOKUP($Y$27,'素データ'!$Z$21:$AA$23,2,FALSE))</f>
        <v>●</v>
      </c>
      <c r="R39" s="522">
        <f>$AB$27</f>
        <v>5</v>
      </c>
      <c r="S39" s="522" t="str">
        <f t="shared" si="17"/>
        <v>－</v>
      </c>
      <c r="T39" s="523">
        <f>$Z$27</f>
        <v>17</v>
      </c>
      <c r="U39" s="521" t="str">
        <f>IF($Y$33="","",VLOOKUP($Y$33,'素データ'!$Z$21:$AA$23,2,FALSE))</f>
        <v>●</v>
      </c>
      <c r="V39" s="522">
        <f>$AB$33</f>
        <v>3</v>
      </c>
      <c r="W39" s="522" t="str">
        <f t="shared" si="20"/>
        <v>－</v>
      </c>
      <c r="X39" s="523">
        <f>$Z$33</f>
        <v>16</v>
      </c>
      <c r="Y39" s="608"/>
      <c r="Z39" s="609"/>
      <c r="AA39" s="609"/>
      <c r="AB39" s="610"/>
      <c r="AC39" s="131" t="str">
        <f>IF(ISNA(VLOOKUP("FG2",'素データ'!$P:$R,3,FALSE)),"",VLOOKUP("FG2",'素データ'!$P:$R,3,FALSE))</f>
        <v>●</v>
      </c>
      <c r="AD39" s="130">
        <f>IF(ISNA(VLOOKUP("FG2",'素データ'!$P:$T,4,FALSE)),"",VLOOKUP("FG2",'素データ'!$P:$T,4,FALSE))</f>
        <v>4</v>
      </c>
      <c r="AE39" s="130" t="str">
        <f t="shared" si="5"/>
        <v>－</v>
      </c>
      <c r="AF39" s="132">
        <f>IF(ISNA(VLOOKUP("FG2",'素データ'!$P:$T,5,FALSE)),"",VLOOKUP("FG2",'素データ'!$P:$T,5,FALSE))</f>
        <v>5</v>
      </c>
      <c r="AG39" s="416">
        <f>IF(ISNA(VLOOKUP("FH2",'素データ'!$P:$R,3,FALSE)),"",VLOOKUP("FH2",'素データ'!$P:$R,3,FALSE))</f>
      </c>
      <c r="AH39" s="417">
        <f>IF(ISNA(VLOOKUP("FH2",'素データ'!$P:$T,4,FALSE)),"",VLOOKUP("FH2",'素データ'!$P:$T,4,FALSE))</f>
      </c>
      <c r="AI39" s="417">
        <f t="shared" si="6"/>
      </c>
      <c r="AJ39" s="418">
        <f>IF(ISNA(VLOOKUP("FH2",'素データ'!$P:$T,5,FALSE)),"",VLOOKUP("FH2",'素データ'!$P:$T,5,FALSE))</f>
      </c>
      <c r="AK39" s="639"/>
      <c r="AL39" s="639"/>
      <c r="AM39" s="639"/>
      <c r="AN39" s="639"/>
      <c r="AO39" s="642"/>
      <c r="AP39" s="624"/>
      <c r="AQ39" s="624"/>
      <c r="AR39" s="630"/>
      <c r="AS39" s="456"/>
      <c r="AT39" s="17"/>
      <c r="AU39" s="636"/>
      <c r="AV39" s="633"/>
      <c r="AW39" s="627"/>
    </row>
    <row r="40" spans="1:49" ht="12.75" customHeight="1">
      <c r="A40" s="604"/>
      <c r="B40" s="43"/>
      <c r="C40" s="653"/>
      <c r="D40" s="656"/>
      <c r="E40" s="49" t="str">
        <f>IF($Y$10="","",VLOOKUP($Y$10,'素データ'!$Z$21:$AA$23,2,FALSE))</f>
        <v>●</v>
      </c>
      <c r="F40" s="50">
        <f>$AB$10</f>
        <v>0</v>
      </c>
      <c r="G40" s="50" t="str">
        <f t="shared" si="19"/>
        <v>－</v>
      </c>
      <c r="H40" s="52">
        <f>$Z$10</f>
        <v>13</v>
      </c>
      <c r="I40" s="521" t="str">
        <f>IF($Y$16="","",VLOOKUP($Y$16,'素データ'!$Z$21:$AA$23,2,FALSE))</f>
        <v>●</v>
      </c>
      <c r="J40" s="522">
        <f>$AB$16</f>
        <v>2</v>
      </c>
      <c r="K40" s="522" t="str">
        <f t="shared" si="11"/>
        <v>－</v>
      </c>
      <c r="L40" s="523">
        <f>$Z$16</f>
        <v>20</v>
      </c>
      <c r="M40" s="521" t="str">
        <f>IF($Y$22="","",VLOOKUP($Y$22,'素データ'!$Z$21:$AA$23,2,FALSE))</f>
        <v>●</v>
      </c>
      <c r="N40" s="522">
        <f>$AB$22</f>
        <v>5</v>
      </c>
      <c r="O40" s="522" t="str">
        <f t="shared" si="14"/>
        <v>－</v>
      </c>
      <c r="P40" s="523">
        <f>$Z$22</f>
        <v>7</v>
      </c>
      <c r="Q40" s="521" t="str">
        <f>IF($Y$28="","",VLOOKUP($Y$28,'素データ'!$Z$21:$AA$23,2,FALSE))</f>
        <v>●</v>
      </c>
      <c r="R40" s="522">
        <f>$AB$28</f>
        <v>0</v>
      </c>
      <c r="S40" s="522" t="str">
        <f t="shared" si="17"/>
        <v>－</v>
      </c>
      <c r="T40" s="523">
        <f>$Z$28</f>
        <v>13</v>
      </c>
      <c r="U40" s="521" t="str">
        <f>IF($Y$34="","",VLOOKUP($Y$34,'素データ'!$Z$21:$AA$23,2,FALSE))</f>
        <v>●</v>
      </c>
      <c r="V40" s="522">
        <f>$AB$34</f>
        <v>2</v>
      </c>
      <c r="W40" s="522" t="str">
        <f t="shared" si="20"/>
        <v>－</v>
      </c>
      <c r="X40" s="523">
        <f>$Z$34</f>
        <v>11</v>
      </c>
      <c r="Y40" s="608"/>
      <c r="Z40" s="609"/>
      <c r="AA40" s="609"/>
      <c r="AB40" s="610"/>
      <c r="AC40" s="131" t="str">
        <f>IF(ISNA(VLOOKUP("FG3",'素データ'!$P:$R,3,FALSE)),"",VLOOKUP("FG3",'素データ'!$P:$R,3,FALSE))</f>
        <v>○</v>
      </c>
      <c r="AD40" s="130">
        <f>IF(ISNA(VLOOKUP("FG3",'素データ'!$P:$T,4,FALSE)),"",VLOOKUP("FG3",'素データ'!$P:$T,4,FALSE))</f>
        <v>7</v>
      </c>
      <c r="AE40" s="130" t="str">
        <f t="shared" si="5"/>
        <v>－</v>
      </c>
      <c r="AF40" s="132">
        <f>IF(ISNA(VLOOKUP("FG3",'素データ'!$P:$T,5,FALSE)),"",VLOOKUP("FG3",'素データ'!$P:$T,5,FALSE))</f>
        <v>3</v>
      </c>
      <c r="AG40" s="416">
        <f>IF(ISNA(VLOOKUP("FH3",'素データ'!$P:$R,3,FALSE)),"",VLOOKUP("FH3",'素データ'!$P:$R,3,FALSE))</f>
      </c>
      <c r="AH40" s="417">
        <f>IF(ISNA(VLOOKUP("FH3",'素データ'!$P:$T,4,FALSE)),"",VLOOKUP("FH3",'素データ'!$P:$T,4,FALSE))</f>
      </c>
      <c r="AI40" s="417">
        <f t="shared" si="6"/>
      </c>
      <c r="AJ40" s="418">
        <f>IF(ISNA(VLOOKUP("FH3",'素データ'!$P:$T,5,FALSE)),"",VLOOKUP("FH3",'素データ'!$P:$T,5,FALSE))</f>
      </c>
      <c r="AK40" s="639"/>
      <c r="AL40" s="639"/>
      <c r="AM40" s="639"/>
      <c r="AN40" s="639"/>
      <c r="AO40" s="642"/>
      <c r="AP40" s="624"/>
      <c r="AQ40" s="624"/>
      <c r="AR40" s="630"/>
      <c r="AS40" s="456"/>
      <c r="AT40" s="17"/>
      <c r="AU40" s="636"/>
      <c r="AV40" s="633"/>
      <c r="AW40" s="627"/>
    </row>
    <row r="41" spans="1:49" ht="12.75" customHeight="1">
      <c r="A41" s="604"/>
      <c r="B41" s="43"/>
      <c r="C41" s="653"/>
      <c r="D41" s="656"/>
      <c r="E41" s="49">
        <f>IF($Y$11="","",VLOOKUP($Y$11,'素データ'!$Z$21:$AA$23,2,FALSE))</f>
      </c>
      <c r="F41" s="50">
        <f>$AB$11</f>
      </c>
      <c r="G41" s="50">
        <f t="shared" si="19"/>
      </c>
      <c r="H41" s="52">
        <f>$Z$11</f>
      </c>
      <c r="I41" s="521">
        <f>IF($Y$17="","",VLOOKUP($Y$17,'素データ'!$Z$21:$AA$23,2,FALSE))</f>
      </c>
      <c r="J41" s="522">
        <f>$AB$17</f>
      </c>
      <c r="K41" s="522">
        <f t="shared" si="11"/>
      </c>
      <c r="L41" s="523">
        <f>$Z$17</f>
      </c>
      <c r="M41" s="521">
        <f>IF($Y$23="","",VLOOKUP($Y$23,'素データ'!$Z$21:$AA$23,2,FALSE))</f>
      </c>
      <c r="N41" s="522">
        <f>$AB$23</f>
      </c>
      <c r="O41" s="522">
        <f t="shared" si="14"/>
      </c>
      <c r="P41" s="523">
        <f>$Z$23</f>
      </c>
      <c r="Q41" s="521">
        <f>IF($Y$29="","",VLOOKUP($Y$29,'素データ'!$Z$21:$AA$23,2,FALSE))</f>
      </c>
      <c r="R41" s="522">
        <f>$AB$29</f>
      </c>
      <c r="S41" s="522">
        <f t="shared" si="17"/>
      </c>
      <c r="T41" s="523">
        <f>$Z$29</f>
      </c>
      <c r="U41" s="521">
        <f>IF($Y$35="","",VLOOKUP($Y$35,'素データ'!$Z$21:$AA$23,2,FALSE))</f>
      </c>
      <c r="V41" s="522">
        <f>$AB$35</f>
      </c>
      <c r="W41" s="522">
        <f t="shared" si="20"/>
      </c>
      <c r="X41" s="523">
        <f>$Z$35</f>
      </c>
      <c r="Y41" s="608"/>
      <c r="Z41" s="609"/>
      <c r="AA41" s="609"/>
      <c r="AB41" s="610"/>
      <c r="AC41" s="131">
        <f>IF(ISNA(VLOOKUP("FG4",'素データ'!$P:$R,3,FALSE)),"",VLOOKUP("FG4",'素データ'!$P:$R,3,FALSE))</f>
      </c>
      <c r="AD41" s="130">
        <f>IF(ISNA(VLOOKUP("FG4",'素データ'!$P:$T,4,FALSE)),"",VLOOKUP("FG4",'素データ'!$P:$T,4,FALSE))</f>
      </c>
      <c r="AE41" s="130">
        <f t="shared" si="5"/>
      </c>
      <c r="AF41" s="132">
        <f>IF(ISNA(VLOOKUP("FG4",'素データ'!$P:$T,5,FALSE)),"",VLOOKUP("FG4",'素データ'!$P:$T,5,FALSE))</f>
      </c>
      <c r="AG41" s="416">
        <f>IF(ISNA(VLOOKUP("FH4",'素データ'!$P:$R,3,FALSE)),"",VLOOKUP("FH4",'素データ'!$P:$R,3,FALSE))</f>
      </c>
      <c r="AH41" s="417">
        <f>IF(ISNA(VLOOKUP("FH4",'素データ'!$P:$T,4,FALSE)),"",VLOOKUP("FH4",'素データ'!$P:$T,4,FALSE))</f>
      </c>
      <c r="AI41" s="417">
        <f t="shared" si="6"/>
      </c>
      <c r="AJ41" s="418">
        <f>IF(ISNA(VLOOKUP("FH4",'素データ'!$P:$T,5,FALSE)),"",VLOOKUP("FH4",'素データ'!$P:$T,5,FALSE))</f>
      </c>
      <c r="AK41" s="639"/>
      <c r="AL41" s="639"/>
      <c r="AM41" s="639"/>
      <c r="AN41" s="639"/>
      <c r="AO41" s="642"/>
      <c r="AP41" s="624"/>
      <c r="AQ41" s="624"/>
      <c r="AR41" s="630"/>
      <c r="AS41" s="456"/>
      <c r="AT41" s="17"/>
      <c r="AU41" s="636"/>
      <c r="AV41" s="633"/>
      <c r="AW41" s="627"/>
    </row>
    <row r="42" spans="1:49" ht="12.75" customHeight="1">
      <c r="A42" s="604"/>
      <c r="B42" s="43"/>
      <c r="C42" s="653"/>
      <c r="D42" s="656"/>
      <c r="E42" s="49">
        <f>IF($Y$12="","",VLOOKUP($Y$12,'素データ'!$Z$21:$AA$23,2,FALSE))</f>
      </c>
      <c r="F42" s="50">
        <f>$AB$12</f>
      </c>
      <c r="G42" s="50">
        <f t="shared" si="19"/>
      </c>
      <c r="H42" s="52">
        <f>$Z$12</f>
      </c>
      <c r="I42" s="521">
        <f>IF($Y$18="","",VLOOKUP($Y$18,'素データ'!$Z$21:$AA$23,2,FALSE))</f>
      </c>
      <c r="J42" s="522">
        <f>$AB$18</f>
      </c>
      <c r="K42" s="522">
        <f t="shared" si="11"/>
      </c>
      <c r="L42" s="523">
        <f>$Z$18</f>
      </c>
      <c r="M42" s="521">
        <f>IF($Y$24="","",VLOOKUP($Y$24,'素データ'!$Z$21:$AA$23,2,FALSE))</f>
      </c>
      <c r="N42" s="522">
        <f>$AB$24</f>
      </c>
      <c r="O42" s="522">
        <f t="shared" si="14"/>
      </c>
      <c r="P42" s="523">
        <f>$Z$24</f>
      </c>
      <c r="Q42" s="521">
        <f>IF($Y$30="","",VLOOKUP($Y$30,'素データ'!$Z$21:$AA$23,2,FALSE))</f>
      </c>
      <c r="R42" s="522">
        <f>$AB$30</f>
      </c>
      <c r="S42" s="522">
        <f t="shared" si="17"/>
      </c>
      <c r="T42" s="523">
        <f>$Z$30</f>
      </c>
      <c r="U42" s="521">
        <f>IF($Y$36="","",VLOOKUP($Y$36,'素データ'!$Z$21:$AA$23,2,FALSE))</f>
      </c>
      <c r="V42" s="522">
        <f>$AB$36</f>
      </c>
      <c r="W42" s="522">
        <f t="shared" si="20"/>
      </c>
      <c r="X42" s="523">
        <f>$Z$36</f>
      </c>
      <c r="Y42" s="608"/>
      <c r="Z42" s="609"/>
      <c r="AA42" s="609"/>
      <c r="AB42" s="610"/>
      <c r="AC42" s="131">
        <f>IF(ISNA(VLOOKUP("FG5",'素データ'!$P:$R,3,FALSE)),"",VLOOKUP("FG5",'素データ'!$P:$R,3,FALSE))</f>
      </c>
      <c r="AD42" s="130">
        <f>IF(ISNA(VLOOKUP("FG5",'素データ'!$P:$T,4,FALSE)),"",VLOOKUP("FG5",'素データ'!$P:$T,4,FALSE))</f>
      </c>
      <c r="AE42" s="130">
        <f t="shared" si="5"/>
      </c>
      <c r="AF42" s="132">
        <f>IF(ISNA(VLOOKUP("FG5",'素データ'!$P:$T,5,FALSE)),"",VLOOKUP("FG5",'素データ'!$P:$T,5,FALSE))</f>
      </c>
      <c r="AG42" s="416">
        <f>IF(ISNA(VLOOKUP("FH5",'素データ'!$P:$R,3,FALSE)),"",VLOOKUP("FH5",'素データ'!$P:$R,3,FALSE))</f>
      </c>
      <c r="AH42" s="417">
        <f>IF(ISNA(VLOOKUP("FH5",'素データ'!$P:$T,4,FALSE)),"",VLOOKUP("FH5",'素データ'!$P:$T,4,FALSE))</f>
      </c>
      <c r="AI42" s="417">
        <f t="shared" si="6"/>
      </c>
      <c r="AJ42" s="418">
        <f>IF(ISNA(VLOOKUP("FH5",'素データ'!$P:$T,5,FALSE)),"",VLOOKUP("FH5",'素データ'!$P:$T,5,FALSE))</f>
      </c>
      <c r="AK42" s="639"/>
      <c r="AL42" s="639"/>
      <c r="AM42" s="639"/>
      <c r="AN42" s="639"/>
      <c r="AO42" s="642"/>
      <c r="AP42" s="624"/>
      <c r="AQ42" s="624"/>
      <c r="AR42" s="630"/>
      <c r="AS42" s="456"/>
      <c r="AT42" s="17"/>
      <c r="AU42" s="636"/>
      <c r="AV42" s="633"/>
      <c r="AW42" s="627"/>
    </row>
    <row r="43" spans="1:49" ht="12.75" customHeight="1" thickBot="1">
      <c r="A43" s="604"/>
      <c r="B43" s="43"/>
      <c r="C43" s="654"/>
      <c r="D43" s="657"/>
      <c r="E43" s="45">
        <f>IF($Y$13="","",VLOOKUP($Y$13,'素データ'!$Z$21:$AA$23,2,FALSE))</f>
      </c>
      <c r="F43" s="51">
        <f>$AB$13</f>
      </c>
      <c r="G43" s="51">
        <f t="shared" si="19"/>
      </c>
      <c r="H43" s="53">
        <f>$Z$13</f>
      </c>
      <c r="I43" s="524">
        <f>IF($Y$19="","",VLOOKUP($Y$19,'素データ'!$Z$21:$AA$23,2,FALSE))</f>
      </c>
      <c r="J43" s="525">
        <f>$AB$19</f>
      </c>
      <c r="K43" s="525">
        <f t="shared" si="11"/>
      </c>
      <c r="L43" s="526">
        <f>$Z$19</f>
      </c>
      <c r="M43" s="524">
        <f>IF($Y$25="","",VLOOKUP($Y$25,'素データ'!$Z$21:$AA$23,2,FALSE))</f>
      </c>
      <c r="N43" s="525">
        <f>$AB$25</f>
      </c>
      <c r="O43" s="525">
        <f t="shared" si="14"/>
      </c>
      <c r="P43" s="526">
        <f>$Z$25</f>
      </c>
      <c r="Q43" s="524">
        <f>IF($Y$31="","",VLOOKUP($Y$31,'素データ'!$Z$21:$AA$23,2,FALSE))</f>
      </c>
      <c r="R43" s="525">
        <f>$AB$31</f>
      </c>
      <c r="S43" s="525">
        <f t="shared" si="17"/>
      </c>
      <c r="T43" s="526">
        <f>$Z$31</f>
      </c>
      <c r="U43" s="524">
        <f>IF($Y$37="","",VLOOKUP($Y$37,'素データ'!$Z$21:$AA$23,2,FALSE))</f>
      </c>
      <c r="V43" s="525">
        <f>$AB$37</f>
      </c>
      <c r="W43" s="525">
        <f t="shared" si="20"/>
      </c>
      <c r="X43" s="526">
        <f>$Z$37</f>
      </c>
      <c r="Y43" s="611"/>
      <c r="Z43" s="612"/>
      <c r="AA43" s="612"/>
      <c r="AB43" s="613"/>
      <c r="AC43" s="133">
        <f>IF(ISNA(VLOOKUP("FG6",'素データ'!$P:$R,3,FALSE)),"",VLOOKUP("FG6",'素データ'!$P:$R,3,FALSE))</f>
      </c>
      <c r="AD43" s="134">
        <f>IF(ISNA(VLOOKUP("FG6",'素データ'!$P:$T,4,FALSE)),"",VLOOKUP("FG6",'素データ'!$P:$T,4,FALSE))</f>
      </c>
      <c r="AE43" s="134">
        <f t="shared" si="5"/>
      </c>
      <c r="AF43" s="135">
        <f>IF(ISNA(VLOOKUP("FG6",'素データ'!$P:$T,5,FALSE)),"",VLOOKUP("FG6",'素データ'!$P:$T,5,FALSE))</f>
      </c>
      <c r="AG43" s="419">
        <f>IF(ISNA(VLOOKUP("FH6",'素データ'!$P:$R,3,FALSE)),"",VLOOKUP("FH6",'素データ'!$P:$R,3,FALSE))</f>
      </c>
      <c r="AH43" s="420">
        <f>IF(ISNA(VLOOKUP("FH6",'素データ'!$P:$T,4,FALSE)),"",VLOOKUP("FH6",'素データ'!$P:$T,4,FALSE))</f>
      </c>
      <c r="AI43" s="420">
        <f t="shared" si="6"/>
      </c>
      <c r="AJ43" s="421">
        <f>IF(ISNA(VLOOKUP("FH6",'素データ'!$P:$T,5,FALSE)),"",VLOOKUP("FH6",'素データ'!$P:$T,5,FALSE))</f>
      </c>
      <c r="AK43" s="640"/>
      <c r="AL43" s="640"/>
      <c r="AM43" s="640"/>
      <c r="AN43" s="640"/>
      <c r="AO43" s="643"/>
      <c r="AP43" s="625"/>
      <c r="AQ43" s="625"/>
      <c r="AR43" s="631"/>
      <c r="AS43" s="456"/>
      <c r="AT43" s="17"/>
      <c r="AU43" s="637"/>
      <c r="AV43" s="634"/>
      <c r="AW43" s="628"/>
    </row>
    <row r="44" spans="1:49" ht="12.75" customHeight="1">
      <c r="A44" s="604">
        <f>AO44+(AL44-AM44)/100000+0.000001</f>
        <v>0.055841</v>
      </c>
      <c r="B44" s="43"/>
      <c r="C44" s="652" t="str">
        <f>'素データ'!Y13</f>
        <v>G</v>
      </c>
      <c r="D44" s="655" t="str">
        <f>VLOOKUP(C44,'素データ'!Y7:Z14,2,FALSE)</f>
        <v>サンデーズＪｒＢ</v>
      </c>
      <c r="E44" s="44" t="str">
        <f>IF($AC$8="","",VLOOKUP($AC$8,'素データ'!$Z$21:$AA$23,2,FALSE))</f>
        <v>●</v>
      </c>
      <c r="F44" s="47">
        <f>$AF$8</f>
        <v>3</v>
      </c>
      <c r="G44" s="47" t="str">
        <f aca="true" t="shared" si="21" ref="G44:G49">IF(E44="","","－")</f>
        <v>－</v>
      </c>
      <c r="H44" s="48">
        <f>$AD$8</f>
        <v>30</v>
      </c>
      <c r="I44" s="44" t="str">
        <f>IF($AC$14="","",VLOOKUP($AC$14,'素データ'!$Z$21:$AA$23,2,FALSE))</f>
        <v>●</v>
      </c>
      <c r="J44" s="47">
        <f>$AF$14</f>
        <v>0</v>
      </c>
      <c r="K44" s="47" t="str">
        <f t="shared" si="11"/>
        <v>－</v>
      </c>
      <c r="L44" s="48">
        <f>$AD$14</f>
        <v>20</v>
      </c>
      <c r="M44" s="44" t="str">
        <f>IF($AC$20="","",VLOOKUP($AC$20,'素データ'!$Z$21:$AA$23,2,FALSE))</f>
        <v>●</v>
      </c>
      <c r="N44" s="47">
        <f>$AF$20</f>
        <v>0</v>
      </c>
      <c r="O44" s="47" t="str">
        <f t="shared" si="14"/>
        <v>－</v>
      </c>
      <c r="P44" s="48">
        <f>$AD$20</f>
        <v>24</v>
      </c>
      <c r="Q44" s="44" t="str">
        <f>IF($AC$26="","",VLOOKUP($AC$26,'素データ'!$Z$21:$AA$23,2,FALSE))</f>
        <v>●</v>
      </c>
      <c r="R44" s="47">
        <f>$AF$26</f>
        <v>0</v>
      </c>
      <c r="S44" s="47" t="str">
        <f t="shared" si="17"/>
        <v>－</v>
      </c>
      <c r="T44" s="48">
        <f>$AD$26</f>
        <v>16</v>
      </c>
      <c r="U44" s="44" t="str">
        <f>IF($AC$32="","",VLOOKUP($AC$32,'素データ'!$Z$21:$AA$23,2,FALSE))</f>
        <v>●</v>
      </c>
      <c r="V44" s="47">
        <f>$AF$32</f>
        <v>1</v>
      </c>
      <c r="W44" s="47" t="str">
        <f t="shared" si="20"/>
        <v>－</v>
      </c>
      <c r="X44" s="48">
        <f>$AD$32</f>
        <v>20</v>
      </c>
      <c r="Y44" s="44" t="str">
        <f>IF($AC$38="","",VLOOKUP($AC$38,'素データ'!$Z$21:$AA$23,2,FALSE))</f>
        <v>●</v>
      </c>
      <c r="Z44" s="47">
        <f>$AF$38</f>
        <v>8</v>
      </c>
      <c r="AA44" s="47" t="str">
        <f aca="true" t="shared" si="22" ref="AA44:AA55">IF(Y44="","","－")</f>
        <v>－</v>
      </c>
      <c r="AB44" s="48">
        <f>$AD$38</f>
        <v>9</v>
      </c>
      <c r="AC44" s="614" t="s">
        <v>6</v>
      </c>
      <c r="AD44" s="615"/>
      <c r="AE44" s="615"/>
      <c r="AF44" s="616"/>
      <c r="AG44" s="413">
        <f>IF(ISNA(VLOOKUP("GH1",'素データ'!$P:$R,3,FALSE)),"",VLOOKUP("GH1",'素データ'!$P:$R,3,FALSE))</f>
      </c>
      <c r="AH44" s="414">
        <f>IF(ISNA(VLOOKUP("GH1",'素データ'!$P:$T,4,FALSE)),"",VLOOKUP("GH1",'素データ'!$P:$T,4,FALSE))</f>
      </c>
      <c r="AI44" s="414">
        <f t="shared" si="6"/>
      </c>
      <c r="AJ44" s="415">
        <f>IF(ISNA(VLOOKUP("GH1",'素データ'!$P:$T,5,FALSE)),"",VLOOKUP("GH1",'素データ'!$P:$T,5,FALSE))</f>
      </c>
      <c r="AK44" s="638">
        <f>SUM(AL44:AN44)</f>
        <v>18</v>
      </c>
      <c r="AL44" s="638">
        <f>COUNTIF(E44:AG49,"○")</f>
        <v>1</v>
      </c>
      <c r="AM44" s="638">
        <f>COUNTIF(E44:AG49,"●")</f>
        <v>17</v>
      </c>
      <c r="AN44" s="638">
        <f>COUNTIF(E44:AG49,"△")</f>
        <v>0</v>
      </c>
      <c r="AO44" s="641">
        <f>ROUND(AL44/(AL44+AM44),3)</f>
        <v>0.056</v>
      </c>
      <c r="AP44" s="623">
        <f>SUM(F44:F49)+SUM(J44:J49)+SUM(N44:N49)+SUM(R44:R49)+SUM(V44:V49)+SUM(Z44:Z49)+SUM(AH44:AH49)</f>
        <v>64</v>
      </c>
      <c r="AQ44" s="623">
        <f>SUM(H44:H49)+SUM(L44:L49)+SUM(P44:P49)+SUM(T44:T49)+SUM(X44:X49)+SUM(AB44:AB49)+SUM(AJ44:AJ49)</f>
        <v>301</v>
      </c>
      <c r="AR44" s="629">
        <f>RANK(AO44,$AO$8:$AO$49,0)</f>
        <v>7</v>
      </c>
      <c r="AS44" s="456"/>
      <c r="AT44" s="17"/>
      <c r="AU44" s="635" t="str">
        <f>IF(AL44=((DCOUNTA('素データ'!$F$5:$L$69,"試合結果",criteria!B73:H74))+(DCOUNTA('素データ'!$F$5:$L$69,"試合結果",criteria!B75:H76))),"OK","NG")</f>
        <v>OK</v>
      </c>
      <c r="AV44" s="632" t="str">
        <f>IF(AM44=((DCOUNTA('素データ'!$F$5:$L$69,"試合結果",criteria!B77:H78))+(DCOUNTA('素データ'!$F$5:$L$69,"試合結果",criteria!B79:H80))),"OK","NG")</f>
        <v>OK</v>
      </c>
      <c r="AW44" s="626" t="str">
        <f>IF(AN44=((DCOUNTA('素データ'!$F$5:$L$69,"試合結果",criteria!B81:H82))+(DCOUNTA('素データ'!$F$5:$L$69,"試合結果",criteria!B83:H84))),"OK","NG")</f>
        <v>OK</v>
      </c>
    </row>
    <row r="45" spans="1:49" ht="12.75" customHeight="1">
      <c r="A45" s="604"/>
      <c r="B45" s="43"/>
      <c r="C45" s="653"/>
      <c r="D45" s="656"/>
      <c r="E45" s="49" t="str">
        <f>IF($AC$9="","",VLOOKUP($AC$9,'素データ'!$Z$21:$AA$23,2,FALSE))</f>
        <v>●</v>
      </c>
      <c r="F45" s="50">
        <f>$AF$9</f>
        <v>13</v>
      </c>
      <c r="G45" s="50" t="str">
        <f t="shared" si="21"/>
        <v>－</v>
      </c>
      <c r="H45" s="52">
        <f>$AD$9</f>
        <v>14</v>
      </c>
      <c r="I45" s="49" t="str">
        <f>IF($AC$15="","",VLOOKUP($AC$15,'素データ'!$Z$21:$AA$23,2,FALSE))</f>
        <v>●</v>
      </c>
      <c r="J45" s="50">
        <f>$AF$15</f>
        <v>0</v>
      </c>
      <c r="K45" s="50" t="str">
        <f t="shared" si="11"/>
        <v>－</v>
      </c>
      <c r="L45" s="52">
        <f>$AD$15</f>
        <v>26</v>
      </c>
      <c r="M45" s="49" t="str">
        <f>IF($AC$21="","",VLOOKUP($AC$21,'素データ'!$Z$21:$AA$23,2,FALSE))</f>
        <v>●</v>
      </c>
      <c r="N45" s="50">
        <f>$AF$21</f>
        <v>6</v>
      </c>
      <c r="O45" s="50" t="str">
        <f t="shared" si="14"/>
        <v>－</v>
      </c>
      <c r="P45" s="52">
        <f>$AD$21</f>
        <v>18</v>
      </c>
      <c r="Q45" s="49" t="str">
        <f>IF($AC$27="","",VLOOKUP($AC$27,'素データ'!$Z$21:$AA$23,2,FALSE))</f>
        <v>●</v>
      </c>
      <c r="R45" s="50">
        <f>$AF$27</f>
        <v>3</v>
      </c>
      <c r="S45" s="50" t="str">
        <f t="shared" si="17"/>
        <v>－</v>
      </c>
      <c r="T45" s="52">
        <f>$AD$27</f>
        <v>20</v>
      </c>
      <c r="U45" s="49" t="str">
        <f>IF($AC$33="","",VLOOKUP($AC$33,'素データ'!$Z$21:$AA$23,2,FALSE))</f>
        <v>●</v>
      </c>
      <c r="V45" s="50">
        <f>$AF$33</f>
        <v>5</v>
      </c>
      <c r="W45" s="50" t="str">
        <f t="shared" si="20"/>
        <v>－</v>
      </c>
      <c r="X45" s="52">
        <f>$AD$33</f>
        <v>14</v>
      </c>
      <c r="Y45" s="49" t="str">
        <f>IF($AC$39="","",VLOOKUP($AC$39,'素データ'!$Z$21:$AA$23,2,FALSE))</f>
        <v>○</v>
      </c>
      <c r="Z45" s="50">
        <f>$AF$39</f>
        <v>5</v>
      </c>
      <c r="AA45" s="50" t="str">
        <f t="shared" si="22"/>
        <v>－</v>
      </c>
      <c r="AB45" s="52">
        <f>$AD$39</f>
        <v>4</v>
      </c>
      <c r="AC45" s="617"/>
      <c r="AD45" s="618"/>
      <c r="AE45" s="618"/>
      <c r="AF45" s="619"/>
      <c r="AG45" s="416">
        <f>IF(ISNA(VLOOKUP("GH2",'素データ'!$P:$R,3,FALSE)),"",VLOOKUP("GH2",'素データ'!$P:$R,3,FALSE))</f>
      </c>
      <c r="AH45" s="417">
        <f>IF(ISNA(VLOOKUP("GH2",'素データ'!$P:$T,4,FALSE)),"",VLOOKUP("GH2",'素データ'!$P:$T,4,FALSE))</f>
      </c>
      <c r="AI45" s="417">
        <f t="shared" si="6"/>
      </c>
      <c r="AJ45" s="418">
        <f>IF(ISNA(VLOOKUP("GH2",'素データ'!$P:$T,5,FALSE)),"",VLOOKUP("GH2",'素データ'!$P:$T,5,FALSE))</f>
      </c>
      <c r="AK45" s="639"/>
      <c r="AL45" s="639"/>
      <c r="AM45" s="639"/>
      <c r="AN45" s="639"/>
      <c r="AO45" s="642"/>
      <c r="AP45" s="624"/>
      <c r="AQ45" s="624"/>
      <c r="AR45" s="630"/>
      <c r="AS45" s="456"/>
      <c r="AT45" s="17"/>
      <c r="AU45" s="636"/>
      <c r="AV45" s="633"/>
      <c r="AW45" s="627"/>
    </row>
    <row r="46" spans="1:49" ht="12.75" customHeight="1">
      <c r="A46" s="604"/>
      <c r="B46" s="43"/>
      <c r="C46" s="653"/>
      <c r="D46" s="656"/>
      <c r="E46" s="49" t="str">
        <f>IF($AC$10="","",VLOOKUP($AC$10,'素データ'!$Z$21:$AA$23,2,FALSE))</f>
        <v>●</v>
      </c>
      <c r="F46" s="50">
        <f>$AF$10</f>
        <v>2</v>
      </c>
      <c r="G46" s="50" t="str">
        <f t="shared" si="21"/>
        <v>－</v>
      </c>
      <c r="H46" s="52">
        <f>$AD$10</f>
        <v>18</v>
      </c>
      <c r="I46" s="49" t="str">
        <f>IF($AC$16="","",VLOOKUP($AC$16,'素データ'!$Z$21:$AA$23,2,FALSE))</f>
        <v>●</v>
      </c>
      <c r="J46" s="50">
        <f>$AF$16</f>
        <v>1</v>
      </c>
      <c r="K46" s="50" t="str">
        <f t="shared" si="11"/>
        <v>－</v>
      </c>
      <c r="L46" s="52">
        <f>$AD$16</f>
        <v>26</v>
      </c>
      <c r="M46" s="49" t="str">
        <f>IF($AC$22="","",VLOOKUP($AC$22,'素データ'!$Z$21:$AA$23,2,FALSE))</f>
        <v>●</v>
      </c>
      <c r="N46" s="50">
        <f>$AF$22</f>
        <v>1</v>
      </c>
      <c r="O46" s="50" t="str">
        <f t="shared" si="14"/>
        <v>－</v>
      </c>
      <c r="P46" s="52">
        <f>$AD$22</f>
        <v>14</v>
      </c>
      <c r="Q46" s="49" t="str">
        <f>IF($AC$28="","",VLOOKUP($AC$28,'素データ'!$Z$21:$AA$23,2,FALSE))</f>
        <v>●</v>
      </c>
      <c r="R46" s="50">
        <f>$AF$28</f>
        <v>9</v>
      </c>
      <c r="S46" s="50" t="str">
        <f t="shared" si="17"/>
        <v>－</v>
      </c>
      <c r="T46" s="52">
        <f>$AD$28</f>
        <v>10</v>
      </c>
      <c r="U46" s="49" t="str">
        <f>IF($AC$34="","",VLOOKUP($AC$34,'素データ'!$Z$21:$AA$23,2,FALSE))</f>
        <v>●</v>
      </c>
      <c r="V46" s="50">
        <f>$AF$34</f>
        <v>4</v>
      </c>
      <c r="W46" s="50" t="str">
        <f t="shared" si="20"/>
        <v>－</v>
      </c>
      <c r="X46" s="52">
        <f>$AD$34</f>
        <v>11</v>
      </c>
      <c r="Y46" s="49" t="str">
        <f>IF($AC$40="","",VLOOKUP($AC$40,'素データ'!$Z$21:$AA$23,2,FALSE))</f>
        <v>●</v>
      </c>
      <c r="Z46" s="50">
        <f>$AF$40</f>
        <v>3</v>
      </c>
      <c r="AA46" s="50" t="str">
        <f t="shared" si="22"/>
        <v>－</v>
      </c>
      <c r="AB46" s="52">
        <f>$AD$40</f>
        <v>7</v>
      </c>
      <c r="AC46" s="617"/>
      <c r="AD46" s="618"/>
      <c r="AE46" s="618"/>
      <c r="AF46" s="619"/>
      <c r="AG46" s="416">
        <f>IF(ISNA(VLOOKUP("GH3",'素データ'!$P:$R,3,FALSE)),"",VLOOKUP("GH3",'素データ'!$P:$R,3,FALSE))</f>
      </c>
      <c r="AH46" s="417">
        <f>IF(ISNA(VLOOKUP("GH3",'素データ'!$P:$T,4,FALSE)),"",VLOOKUP("GH3",'素データ'!$P:$T,4,FALSE))</f>
      </c>
      <c r="AI46" s="417">
        <f t="shared" si="6"/>
      </c>
      <c r="AJ46" s="418">
        <f>IF(ISNA(VLOOKUP("GH3",'素データ'!$P:$T,5,FALSE)),"",VLOOKUP("GH3",'素データ'!$P:$T,5,FALSE))</f>
      </c>
      <c r="AK46" s="639"/>
      <c r="AL46" s="639"/>
      <c r="AM46" s="639"/>
      <c r="AN46" s="639"/>
      <c r="AO46" s="642"/>
      <c r="AP46" s="624"/>
      <c r="AQ46" s="624"/>
      <c r="AR46" s="630"/>
      <c r="AS46" s="456"/>
      <c r="AT46" s="17"/>
      <c r="AU46" s="636"/>
      <c r="AV46" s="633"/>
      <c r="AW46" s="627"/>
    </row>
    <row r="47" spans="1:49" ht="12.75" customHeight="1">
      <c r="A47" s="604"/>
      <c r="B47" s="43"/>
      <c r="C47" s="653"/>
      <c r="D47" s="656"/>
      <c r="E47" s="49">
        <f>IF($AC$11="","",VLOOKUP($AC$11,'素データ'!$Z$21:$AA$23,2,FALSE))</f>
      </c>
      <c r="F47" s="50">
        <f>$AF$11</f>
      </c>
      <c r="G47" s="50">
        <f t="shared" si="21"/>
      </c>
      <c r="H47" s="52">
        <f>$AD$11</f>
      </c>
      <c r="I47" s="49">
        <f>IF($AC$17="","",VLOOKUP($AC$17,'素データ'!$Z$21:$AA$23,2,FALSE))</f>
      </c>
      <c r="J47" s="50">
        <f>$AF$17</f>
      </c>
      <c r="K47" s="50">
        <f t="shared" si="11"/>
      </c>
      <c r="L47" s="52">
        <f>$AD$17</f>
      </c>
      <c r="M47" s="49">
        <f>IF($AC$23="","",VLOOKUP($AC$23,'素データ'!$Z$21:$AA$23,2,FALSE))</f>
      </c>
      <c r="N47" s="50">
        <f>$AF$23</f>
      </c>
      <c r="O47" s="50">
        <f t="shared" si="14"/>
      </c>
      <c r="P47" s="52">
        <f>$AD$23</f>
      </c>
      <c r="Q47" s="49">
        <f>IF($AC$29="","",VLOOKUP($AC$29,'素データ'!$Z$21:$AA$23,2,FALSE))</f>
      </c>
      <c r="R47" s="50">
        <f>$AF$29</f>
      </c>
      <c r="S47" s="50">
        <f t="shared" si="17"/>
      </c>
      <c r="T47" s="52">
        <f>$AD$29</f>
      </c>
      <c r="U47" s="49">
        <f>IF($AC$35="","",VLOOKUP($AC$35,'素データ'!$Z$21:$AA$23,2,FALSE))</f>
      </c>
      <c r="V47" s="50">
        <f>$AF$35</f>
      </c>
      <c r="W47" s="50">
        <f t="shared" si="20"/>
      </c>
      <c r="X47" s="52">
        <f>$AD$35</f>
      </c>
      <c r="Y47" s="49">
        <f>IF($AC$41="","",VLOOKUP($AC$41,'素データ'!$Z$21:$AA$23,2,FALSE))</f>
      </c>
      <c r="Z47" s="50">
        <f>$AF$41</f>
      </c>
      <c r="AA47" s="50">
        <f t="shared" si="22"/>
      </c>
      <c r="AB47" s="52">
        <f>$AD$41</f>
      </c>
      <c r="AC47" s="617"/>
      <c r="AD47" s="618"/>
      <c r="AE47" s="618"/>
      <c r="AF47" s="619"/>
      <c r="AG47" s="416">
        <f>IF(ISNA(VLOOKUP("GH4",'素データ'!$P:$R,3,FALSE)),"",VLOOKUP("GH4",'素データ'!$P:$R,3,FALSE))</f>
      </c>
      <c r="AH47" s="417">
        <f>IF(ISNA(VLOOKUP("GH4",'素データ'!$P:$T,4,FALSE)),"",VLOOKUP("GH4",'素データ'!$P:$T,4,FALSE))</f>
      </c>
      <c r="AI47" s="417">
        <f t="shared" si="6"/>
      </c>
      <c r="AJ47" s="418">
        <f>IF(ISNA(VLOOKUP("GH4",'素データ'!$P:$T,5,FALSE)),"",VLOOKUP("GH4",'素データ'!$P:$T,5,FALSE))</f>
      </c>
      <c r="AK47" s="639"/>
      <c r="AL47" s="639"/>
      <c r="AM47" s="639"/>
      <c r="AN47" s="639"/>
      <c r="AO47" s="642"/>
      <c r="AP47" s="624"/>
      <c r="AQ47" s="624"/>
      <c r="AR47" s="630"/>
      <c r="AS47" s="456"/>
      <c r="AT47" s="17"/>
      <c r="AU47" s="636"/>
      <c r="AV47" s="633"/>
      <c r="AW47" s="627"/>
    </row>
    <row r="48" spans="1:49" ht="12.75" customHeight="1">
      <c r="A48" s="604"/>
      <c r="B48" s="43"/>
      <c r="C48" s="653"/>
      <c r="D48" s="656"/>
      <c r="E48" s="49">
        <f>IF($AC$12="","",VLOOKUP($AC$12,'素データ'!$Z$21:$AA$23,2,FALSE))</f>
      </c>
      <c r="F48" s="50">
        <f>$AF$12</f>
      </c>
      <c r="G48" s="50">
        <f t="shared" si="21"/>
      </c>
      <c r="H48" s="52">
        <f>$AD$12</f>
      </c>
      <c r="I48" s="49">
        <f>IF($AC$18="","",VLOOKUP($AC$18,'素データ'!$Z$21:$AA$23,2,FALSE))</f>
      </c>
      <c r="J48" s="50">
        <f>$AF$18</f>
      </c>
      <c r="K48" s="50">
        <f t="shared" si="11"/>
      </c>
      <c r="L48" s="52">
        <f>$AD$18</f>
      </c>
      <c r="M48" s="49">
        <f>IF($AC$24="","",VLOOKUP($AC$24,'素データ'!$Z$21:$AA$23,2,FALSE))</f>
      </c>
      <c r="N48" s="50">
        <f>$AF$24</f>
      </c>
      <c r="O48" s="50">
        <f t="shared" si="14"/>
      </c>
      <c r="P48" s="52">
        <f>$AD$24</f>
      </c>
      <c r="Q48" s="49">
        <f>IF($AC$30="","",VLOOKUP($AC$30,'素データ'!$Z$21:$AA$23,2,FALSE))</f>
      </c>
      <c r="R48" s="50">
        <f>$AF$30</f>
      </c>
      <c r="S48" s="50">
        <f t="shared" si="17"/>
      </c>
      <c r="T48" s="52">
        <f>$AD$30</f>
      </c>
      <c r="U48" s="49">
        <f>IF($AC$36="","",VLOOKUP($AC$36,'素データ'!$Z$21:$AA$23,2,FALSE))</f>
      </c>
      <c r="V48" s="50">
        <f>$AF$36</f>
      </c>
      <c r="W48" s="50">
        <f t="shared" si="20"/>
      </c>
      <c r="X48" s="52">
        <f>$AD$36</f>
      </c>
      <c r="Y48" s="49">
        <f>IF($AC$42="","",VLOOKUP($AC$42,'素データ'!$Z$21:$AA$23,2,FALSE))</f>
      </c>
      <c r="Z48" s="50">
        <f>$AF$42</f>
      </c>
      <c r="AA48" s="50">
        <f t="shared" si="22"/>
      </c>
      <c r="AB48" s="52">
        <f>$AD$42</f>
      </c>
      <c r="AC48" s="617"/>
      <c r="AD48" s="618"/>
      <c r="AE48" s="618"/>
      <c r="AF48" s="619"/>
      <c r="AG48" s="416">
        <f>IF(ISNA(VLOOKUP("GH5",'素データ'!$P:$R,3,FALSE)),"",VLOOKUP("GH5",'素データ'!$P:$R,3,FALSE))</f>
      </c>
      <c r="AH48" s="417">
        <f>IF(ISNA(VLOOKUP("GH5",'素データ'!$P:$T,4,FALSE)),"",VLOOKUP("GH5",'素データ'!$P:$T,4,FALSE))</f>
      </c>
      <c r="AI48" s="417">
        <f t="shared" si="6"/>
      </c>
      <c r="AJ48" s="418">
        <f>IF(ISNA(VLOOKUP("GH5",'素データ'!$P:$T,5,FALSE)),"",VLOOKUP("GH5",'素データ'!$P:$T,5,FALSE))</f>
      </c>
      <c r="AK48" s="639"/>
      <c r="AL48" s="639"/>
      <c r="AM48" s="639"/>
      <c r="AN48" s="639"/>
      <c r="AO48" s="642"/>
      <c r="AP48" s="624"/>
      <c r="AQ48" s="624"/>
      <c r="AR48" s="630"/>
      <c r="AS48" s="456"/>
      <c r="AT48" s="17"/>
      <c r="AU48" s="636"/>
      <c r="AV48" s="633"/>
      <c r="AW48" s="627"/>
    </row>
    <row r="49" spans="1:49" ht="12.75" customHeight="1" thickBot="1">
      <c r="A49" s="604"/>
      <c r="B49" s="43"/>
      <c r="C49" s="654"/>
      <c r="D49" s="657"/>
      <c r="E49" s="45">
        <f>IF($AC$13="","",VLOOKUP($AC$13,'素データ'!$Z$21:$AA$23,2,FALSE))</f>
      </c>
      <c r="F49" s="51">
        <f>$AF$13</f>
      </c>
      <c r="G49" s="51">
        <f t="shared" si="21"/>
      </c>
      <c r="H49" s="53">
        <f>$AD$13</f>
      </c>
      <c r="I49" s="45">
        <f>IF($AC$19="","",VLOOKUP($AC$19,'素データ'!$Z$21:$AA$23,2,FALSE))</f>
      </c>
      <c r="J49" s="51">
        <f>$AF$19</f>
      </c>
      <c r="K49" s="51">
        <f t="shared" si="11"/>
      </c>
      <c r="L49" s="53">
        <f>$AD$19</f>
      </c>
      <c r="M49" s="45">
        <f>IF($AC$25="","",VLOOKUP($AC$25,'素データ'!$Z$21:$AA$23,2,FALSE))</f>
      </c>
      <c r="N49" s="51">
        <f>$AF$25</f>
      </c>
      <c r="O49" s="51">
        <f t="shared" si="14"/>
      </c>
      <c r="P49" s="53">
        <f>$AD$25</f>
      </c>
      <c r="Q49" s="45">
        <f>IF($AC$31="","",VLOOKUP($AC$31,'素データ'!$Z$21:$AA$23,2,FALSE))</f>
      </c>
      <c r="R49" s="51">
        <f>$AF$31</f>
      </c>
      <c r="S49" s="51">
        <f t="shared" si="17"/>
      </c>
      <c r="T49" s="53">
        <f>$AD$31</f>
      </c>
      <c r="U49" s="45">
        <f>IF($AC$37="","",VLOOKUP($AC$37,'素データ'!$Z$21:$AA$23,2,FALSE))</f>
      </c>
      <c r="V49" s="51">
        <f>$AF$37</f>
      </c>
      <c r="W49" s="51">
        <f t="shared" si="20"/>
      </c>
      <c r="X49" s="53">
        <f>$AD$37</f>
      </c>
      <c r="Y49" s="45">
        <f>IF($AC$43="","",VLOOKUP($AC$43,'素データ'!$Z$21:$AA$23,2,FALSE))</f>
      </c>
      <c r="Z49" s="51">
        <f>$AF$43</f>
      </c>
      <c r="AA49" s="51">
        <f t="shared" si="22"/>
      </c>
      <c r="AB49" s="53">
        <f>$AD$43</f>
      </c>
      <c r="AC49" s="620"/>
      <c r="AD49" s="621"/>
      <c r="AE49" s="621"/>
      <c r="AF49" s="622"/>
      <c r="AG49" s="419">
        <f>IF(ISNA(VLOOKUP("GH6",'素データ'!$P:$R,3,FALSE)),"",VLOOKUP("GH6",'素データ'!$P:$R,3,FALSE))</f>
      </c>
      <c r="AH49" s="420">
        <f>IF(ISNA(VLOOKUP("GH6",'素データ'!$P:$T,4,FALSE)),"",VLOOKUP("GH6",'素データ'!$P:$T,4,FALSE))</f>
      </c>
      <c r="AI49" s="420">
        <f t="shared" si="6"/>
      </c>
      <c r="AJ49" s="421">
        <f>IF(ISNA(VLOOKUP("GH6",'素データ'!$P:$T,5,FALSE)),"",VLOOKUP("GH6",'素データ'!$P:$T,5,FALSE))</f>
      </c>
      <c r="AK49" s="640"/>
      <c r="AL49" s="640"/>
      <c r="AM49" s="640"/>
      <c r="AN49" s="640"/>
      <c r="AO49" s="643"/>
      <c r="AP49" s="625"/>
      <c r="AQ49" s="625"/>
      <c r="AR49" s="631"/>
      <c r="AS49" s="456"/>
      <c r="AT49" s="17"/>
      <c r="AU49" s="637"/>
      <c r="AV49" s="634"/>
      <c r="AW49" s="628"/>
    </row>
    <row r="50" spans="1:49" ht="12.75" customHeight="1" hidden="1" thickBot="1">
      <c r="A50" s="703" t="e">
        <f>AO50+(AL50-AM50)/100000+0.000001</f>
        <v>#DIV/0!</v>
      </c>
      <c r="B50" s="395"/>
      <c r="C50" s="646" t="str">
        <f>'素データ'!Y14</f>
        <v>H</v>
      </c>
      <c r="D50" s="649" t="str">
        <f>VLOOKUP(C50,'素データ'!Y7:Z14,2,FALSE)</f>
        <v>Dummy</v>
      </c>
      <c r="E50" s="396">
        <f>IF($AG$8="","",VLOOKUP($AG$8,'素データ'!$Z$21:$AA$23,2,FALSE))</f>
      </c>
      <c r="F50" s="397">
        <f>$AJ$8</f>
      </c>
      <c r="G50" s="397">
        <f aca="true" t="shared" si="23" ref="G50:G55">IF(E50="","","－")</f>
      </c>
      <c r="H50" s="398">
        <f>$AH$8</f>
      </c>
      <c r="I50" s="396">
        <f>IF($AG$14="","",VLOOKUP($AG$14,'素データ'!$Z$21:$AA$23,2,FALSE))</f>
      </c>
      <c r="J50" s="397">
        <f>$AJ$14</f>
      </c>
      <c r="K50" s="397">
        <f t="shared" si="11"/>
      </c>
      <c r="L50" s="398">
        <f>$AH$14</f>
      </c>
      <c r="M50" s="396">
        <f>IF($AG$20="","",VLOOKUP($AG$20,'素データ'!$Z$21:$AA$23,2,FALSE))</f>
      </c>
      <c r="N50" s="397">
        <f>$AJ$20</f>
      </c>
      <c r="O50" s="397">
        <f t="shared" si="14"/>
      </c>
      <c r="P50" s="398">
        <f>$AH$20</f>
      </c>
      <c r="Q50" s="396">
        <f>IF($AG$26="","",VLOOKUP($AG$26,'素データ'!$Z$21:$AA$23,2,FALSE))</f>
      </c>
      <c r="R50" s="397">
        <f>$AJ$26</f>
      </c>
      <c r="S50" s="397">
        <f t="shared" si="17"/>
      </c>
      <c r="T50" s="398">
        <f>$AH$26</f>
      </c>
      <c r="U50" s="396">
        <f>IF($AG$32="","",VLOOKUP($AG$32,'素データ'!$Z$21:$AA$23,2,FALSE))</f>
      </c>
      <c r="V50" s="397">
        <f>$AJ$32</f>
      </c>
      <c r="W50" s="397">
        <f t="shared" si="20"/>
      </c>
      <c r="X50" s="398">
        <f>$AH$32</f>
      </c>
      <c r="Y50" s="396">
        <f>IF($AG$38="","",VLOOKUP($AG$38,'素データ'!$Z$21:$AA$23,2,FALSE))</f>
      </c>
      <c r="Z50" s="397">
        <f>$AJ$38</f>
      </c>
      <c r="AA50" s="397">
        <f t="shared" si="22"/>
      </c>
      <c r="AB50" s="398">
        <f>$AH$38</f>
      </c>
      <c r="AC50" s="396">
        <f>IF($AG$44="","",VLOOKUP($AG$44,'素データ'!$Z$21:$AA$23,2,FALSE))</f>
      </c>
      <c r="AD50" s="397">
        <f>$AJ$44</f>
      </c>
      <c r="AE50" s="397">
        <f aca="true" t="shared" si="24" ref="AE50:AE55">IF(AC50="","","－")</f>
      </c>
      <c r="AF50" s="398">
        <f>$AH$44</f>
      </c>
      <c r="AG50" s="658" t="s">
        <v>6</v>
      </c>
      <c r="AH50" s="659"/>
      <c r="AI50" s="659"/>
      <c r="AJ50" s="660"/>
      <c r="AK50" s="674">
        <f>SUM(AL50:AN50)</f>
        <v>0</v>
      </c>
      <c r="AL50" s="674">
        <f>COUNTIF(E50:AG55,"○")</f>
        <v>0</v>
      </c>
      <c r="AM50" s="674">
        <f>COUNTIF(E50:AG55,"●")</f>
        <v>0</v>
      </c>
      <c r="AN50" s="674">
        <f>COUNTIF(E50:AG55,"△")</f>
        <v>0</v>
      </c>
      <c r="AO50" s="667" t="e">
        <f>ROUND(AL50/(AL50+AM50),3)</f>
        <v>#DIV/0!</v>
      </c>
      <c r="AP50" s="671">
        <f>SUM(F50:F55)+SUM(J50:J55)+SUM(N50:N55)+SUM(R50:R55)+SUM(V50:V55)+SUM(Z50:Z55)+SUM(AD50:AD55)</f>
        <v>0</v>
      </c>
      <c r="AQ50" s="671">
        <f>SUM(H50:H55)+SUM(L50:L55)+SUM(P50:P55)+SUM(T50:T55)+SUM(X50:X55)+SUM(AB50:AB55)+SUM(AF50:AF55)</f>
        <v>0</v>
      </c>
      <c r="AR50" s="668" t="e">
        <f>RANK(AO50,$AO$8:$AO$55,0)</f>
        <v>#DIV/0!</v>
      </c>
      <c r="AS50" s="456"/>
      <c r="AT50" s="17"/>
      <c r="AU50" s="635" t="str">
        <f>IF(AL50=((DCOUNTA('素データ'!$F$5:$L$69,"試合結果",criteria!B85:H86))+(DCOUNTA('素データ'!$F$5:$L$69,"試合結果",criteria!B87:H88))),"OK","NG")</f>
        <v>OK</v>
      </c>
      <c r="AV50" s="632" t="str">
        <f>IF(AM50=((DCOUNTA('素データ'!$F$5:$L$69,"試合結果",criteria!B89:H90))+(DCOUNTA('素データ'!$F$5:$L$69,"試合結果",criteria!B91:H92))),"OK","NG")</f>
        <v>OK</v>
      </c>
      <c r="AW50" s="626" t="str">
        <f>IF(AN50=((DCOUNTA('素データ'!$F$5:$L$69,"試合結果",criteria!B93:H94))+(DCOUNTA('素データ'!$F$5:$L$69,"試合結果",criteria!B95:H96))),"OK","NG")</f>
        <v>OK</v>
      </c>
    </row>
    <row r="51" spans="1:49" ht="12.75" customHeight="1" hidden="1" thickBot="1">
      <c r="A51" s="703"/>
      <c r="B51" s="395"/>
      <c r="C51" s="647"/>
      <c r="D51" s="650"/>
      <c r="E51" s="399">
        <f>IF($AG$9="","",VLOOKUP($AG$9,'素データ'!$Z$21:$AA$23,2,FALSE))</f>
      </c>
      <c r="F51" s="400">
        <f>$AJ$9</f>
      </c>
      <c r="G51" s="400">
        <f t="shared" si="23"/>
      </c>
      <c r="H51" s="401">
        <f>$AH$9</f>
      </c>
      <c r="I51" s="399">
        <f>IF($AG$15="","",VLOOKUP($AG$15,'素データ'!$Z$21:$AA$23,2,FALSE))</f>
      </c>
      <c r="J51" s="400">
        <f>$AJ$15</f>
      </c>
      <c r="K51" s="400">
        <f t="shared" si="11"/>
      </c>
      <c r="L51" s="401">
        <f>$AH$15</f>
      </c>
      <c r="M51" s="399">
        <f>IF($AG$21="","",VLOOKUP($AG$21,'素データ'!$Z$21:$AA$23,2,FALSE))</f>
      </c>
      <c r="N51" s="400">
        <f>$AJ$21</f>
      </c>
      <c r="O51" s="400">
        <f t="shared" si="14"/>
      </c>
      <c r="P51" s="401">
        <f>$AH$21</f>
      </c>
      <c r="Q51" s="399">
        <f>IF($AG$27="","",VLOOKUP($AG$27,'素データ'!$Z$21:$AA$23,2,FALSE))</f>
      </c>
      <c r="R51" s="400">
        <f>$AJ$27</f>
      </c>
      <c r="S51" s="400">
        <f t="shared" si="17"/>
      </c>
      <c r="T51" s="401">
        <f>$AH$27</f>
      </c>
      <c r="U51" s="399">
        <f>IF($AG$33="","",VLOOKUP($AG$33,'素データ'!$Z$21:$AA$23,2,FALSE))</f>
      </c>
      <c r="V51" s="400">
        <f>$AJ$33</f>
      </c>
      <c r="W51" s="400">
        <f t="shared" si="20"/>
      </c>
      <c r="X51" s="401">
        <f>$AH$33</f>
      </c>
      <c r="Y51" s="399">
        <f>IF($AG$39="","",VLOOKUP($AG$39,'素データ'!$Z$21:$AA$23,2,FALSE))</f>
      </c>
      <c r="Z51" s="400">
        <f>$AJ$39</f>
      </c>
      <c r="AA51" s="400">
        <f t="shared" si="22"/>
      </c>
      <c r="AB51" s="401">
        <f>$AH$39</f>
      </c>
      <c r="AC51" s="399">
        <f>IF($AG$45="","",VLOOKUP($AG$45,'素データ'!$Z$21:$AA$23,2,FALSE))</f>
      </c>
      <c r="AD51" s="400">
        <f>$AJ$45</f>
      </c>
      <c r="AE51" s="400">
        <f t="shared" si="24"/>
      </c>
      <c r="AF51" s="401">
        <f>$AH$45</f>
      </c>
      <c r="AG51" s="661"/>
      <c r="AH51" s="662"/>
      <c r="AI51" s="662"/>
      <c r="AJ51" s="663"/>
      <c r="AK51" s="675"/>
      <c r="AL51" s="675"/>
      <c r="AM51" s="675"/>
      <c r="AN51" s="675"/>
      <c r="AO51" s="667"/>
      <c r="AP51" s="672"/>
      <c r="AQ51" s="672"/>
      <c r="AR51" s="669"/>
      <c r="AS51" s="456"/>
      <c r="AT51" s="17"/>
      <c r="AU51" s="636"/>
      <c r="AV51" s="633"/>
      <c r="AW51" s="627"/>
    </row>
    <row r="52" spans="1:49" ht="12.75" customHeight="1" hidden="1" thickBot="1">
      <c r="A52" s="703"/>
      <c r="B52" s="395"/>
      <c r="C52" s="647"/>
      <c r="D52" s="650"/>
      <c r="E52" s="399">
        <f>IF($AG$10="","",VLOOKUP($AG$10,'素データ'!$Z$21:$AA$23,2,FALSE))</f>
      </c>
      <c r="F52" s="400">
        <f>$AJ$10</f>
      </c>
      <c r="G52" s="400">
        <f t="shared" si="23"/>
      </c>
      <c r="H52" s="401">
        <f>$AH$10</f>
      </c>
      <c r="I52" s="399">
        <f>IF($AG$16="","",VLOOKUP($AG$16,'素データ'!$Z$21:$AA$23,2,FALSE))</f>
      </c>
      <c r="J52" s="400">
        <f>$AJ$16</f>
      </c>
      <c r="K52" s="400">
        <f t="shared" si="11"/>
      </c>
      <c r="L52" s="401">
        <f>$AH$16</f>
      </c>
      <c r="M52" s="399">
        <f>IF($AG$22="","",VLOOKUP($AG$22,'素データ'!$Z$21:$AA$23,2,FALSE))</f>
      </c>
      <c r="N52" s="400">
        <f>$AJ$22</f>
      </c>
      <c r="O52" s="400">
        <f t="shared" si="14"/>
      </c>
      <c r="P52" s="401">
        <f>$AH$22</f>
      </c>
      <c r="Q52" s="399">
        <f>IF($AG$28="","",VLOOKUP($AG$28,'素データ'!$Z$21:$AA$23,2,FALSE))</f>
      </c>
      <c r="R52" s="400">
        <f>$AJ$28</f>
      </c>
      <c r="S52" s="400">
        <f t="shared" si="17"/>
      </c>
      <c r="T52" s="401">
        <f>$AH$28</f>
      </c>
      <c r="U52" s="399">
        <f>IF($AG$34="","",VLOOKUP($AG$34,'素データ'!$Z$21:$AA$23,2,FALSE))</f>
      </c>
      <c r="V52" s="400">
        <f>$AJ$34</f>
      </c>
      <c r="W52" s="400">
        <f t="shared" si="20"/>
      </c>
      <c r="X52" s="401">
        <f>$AH$34</f>
      </c>
      <c r="Y52" s="399">
        <f>IF($AG$40="","",VLOOKUP($AG$40,'素データ'!$Z$21:$AA$23,2,FALSE))</f>
      </c>
      <c r="Z52" s="400">
        <f>$AJ$40</f>
      </c>
      <c r="AA52" s="400">
        <f t="shared" si="22"/>
      </c>
      <c r="AB52" s="401">
        <f>$AH$40</f>
      </c>
      <c r="AC52" s="399">
        <f>IF($AG$46="","",VLOOKUP($AG$46,'素データ'!$Z$21:$AA$23,2,FALSE))</f>
      </c>
      <c r="AD52" s="400">
        <f>$AJ$46</f>
      </c>
      <c r="AE52" s="400">
        <f t="shared" si="24"/>
      </c>
      <c r="AF52" s="401">
        <f>$AH$46</f>
      </c>
      <c r="AG52" s="661"/>
      <c r="AH52" s="662"/>
      <c r="AI52" s="662"/>
      <c r="AJ52" s="663"/>
      <c r="AK52" s="675"/>
      <c r="AL52" s="675"/>
      <c r="AM52" s="675"/>
      <c r="AN52" s="675"/>
      <c r="AO52" s="667"/>
      <c r="AP52" s="672"/>
      <c r="AQ52" s="672"/>
      <c r="AR52" s="669"/>
      <c r="AS52" s="456"/>
      <c r="AT52" s="17"/>
      <c r="AU52" s="636"/>
      <c r="AV52" s="633"/>
      <c r="AW52" s="627"/>
    </row>
    <row r="53" spans="1:49" ht="12.75" customHeight="1" hidden="1" thickBot="1">
      <c r="A53" s="703"/>
      <c r="B53" s="395"/>
      <c r="C53" s="647"/>
      <c r="D53" s="650"/>
      <c r="E53" s="399">
        <f>IF($AG$11="","",VLOOKUP($AG$11,'素データ'!$Z$21:$AA$23,2,FALSE))</f>
      </c>
      <c r="F53" s="400">
        <f>$AJ$11</f>
      </c>
      <c r="G53" s="400">
        <f t="shared" si="23"/>
      </c>
      <c r="H53" s="401">
        <f>$AH$11</f>
      </c>
      <c r="I53" s="399">
        <f>IF($AG$17="","",VLOOKUP($AG$17,'素データ'!$Z$21:$AA$23,2,FALSE))</f>
      </c>
      <c r="J53" s="400">
        <f>$AJ$17</f>
      </c>
      <c r="K53" s="400">
        <f t="shared" si="11"/>
      </c>
      <c r="L53" s="401">
        <f>$AH$17</f>
      </c>
      <c r="M53" s="399">
        <f>IF($AG$23="","",VLOOKUP($AG$23,'素データ'!$Z$21:$AA$23,2,FALSE))</f>
      </c>
      <c r="N53" s="400">
        <f>$AJ$23</f>
      </c>
      <c r="O53" s="400">
        <f t="shared" si="14"/>
      </c>
      <c r="P53" s="401">
        <f>$AH$23</f>
      </c>
      <c r="Q53" s="399">
        <f>IF($AG$29="","",VLOOKUP($AG$29,'素データ'!$Z$21:$AA$23,2,FALSE))</f>
      </c>
      <c r="R53" s="400">
        <f>$AJ$29</f>
      </c>
      <c r="S53" s="400">
        <f t="shared" si="17"/>
      </c>
      <c r="T53" s="401">
        <f>$AH$29</f>
      </c>
      <c r="U53" s="399">
        <f>IF($AG$35="","",VLOOKUP($AG$35,'素データ'!$Z$21:$AA$23,2,FALSE))</f>
      </c>
      <c r="V53" s="400">
        <f>$AJ$35</f>
      </c>
      <c r="W53" s="400">
        <f t="shared" si="20"/>
      </c>
      <c r="X53" s="401">
        <f>$AH$35</f>
      </c>
      <c r="Y53" s="399">
        <f>IF($AG$41="","",VLOOKUP($AG$41,'素データ'!$Z$21:$AA$23,2,FALSE))</f>
      </c>
      <c r="Z53" s="400">
        <f>$AJ$41</f>
      </c>
      <c r="AA53" s="400">
        <f t="shared" si="22"/>
      </c>
      <c r="AB53" s="401">
        <f>$AH$41</f>
      </c>
      <c r="AC53" s="399">
        <f>IF($AG$47="","",VLOOKUP($AG$47,'素データ'!$Z$21:$AA$23,2,FALSE))</f>
      </c>
      <c r="AD53" s="400">
        <f>$AJ$47</f>
      </c>
      <c r="AE53" s="400">
        <f t="shared" si="24"/>
      </c>
      <c r="AF53" s="401">
        <f>$AH$47</f>
      </c>
      <c r="AG53" s="661"/>
      <c r="AH53" s="662"/>
      <c r="AI53" s="662"/>
      <c r="AJ53" s="663"/>
      <c r="AK53" s="675"/>
      <c r="AL53" s="675"/>
      <c r="AM53" s="675"/>
      <c r="AN53" s="675"/>
      <c r="AO53" s="667"/>
      <c r="AP53" s="672"/>
      <c r="AQ53" s="672"/>
      <c r="AR53" s="669"/>
      <c r="AS53" s="456"/>
      <c r="AT53" s="17"/>
      <c r="AU53" s="636"/>
      <c r="AV53" s="633"/>
      <c r="AW53" s="627"/>
    </row>
    <row r="54" spans="1:49" ht="12.75" customHeight="1" hidden="1" thickBot="1">
      <c r="A54" s="703"/>
      <c r="B54" s="395"/>
      <c r="C54" s="647"/>
      <c r="D54" s="650"/>
      <c r="E54" s="399">
        <f>IF($AG$12="","",VLOOKUP($AG$12,'素データ'!$Z$21:$AA$23,2,FALSE))</f>
      </c>
      <c r="F54" s="400">
        <f>$AJ$12</f>
      </c>
      <c r="G54" s="400">
        <f t="shared" si="23"/>
      </c>
      <c r="H54" s="401">
        <f>$AH$12</f>
      </c>
      <c r="I54" s="399">
        <f>IF($AG$18="","",VLOOKUP($AG$18,'素データ'!$Z$21:$AA$23,2,FALSE))</f>
      </c>
      <c r="J54" s="400">
        <f>$AJ$18</f>
      </c>
      <c r="K54" s="400">
        <f t="shared" si="11"/>
      </c>
      <c r="L54" s="401">
        <f>$AH$18</f>
      </c>
      <c r="M54" s="399">
        <f>IF($AG$24="","",VLOOKUP($AG$24,'素データ'!$Z$21:$AA$23,2,FALSE))</f>
      </c>
      <c r="N54" s="400">
        <f>$AJ$24</f>
      </c>
      <c r="O54" s="400">
        <f t="shared" si="14"/>
      </c>
      <c r="P54" s="401">
        <f>$AH$24</f>
      </c>
      <c r="Q54" s="399">
        <f>IF($AG$30="","",VLOOKUP($AG$30,'素データ'!$Z$21:$AA$23,2,FALSE))</f>
      </c>
      <c r="R54" s="400">
        <f>$AJ$30</f>
      </c>
      <c r="S54" s="400">
        <f t="shared" si="17"/>
      </c>
      <c r="T54" s="401">
        <f>$AH$30</f>
      </c>
      <c r="U54" s="399">
        <f>IF($AG$36="","",VLOOKUP($AG$36,'素データ'!$Z$21:$AA$23,2,FALSE))</f>
      </c>
      <c r="V54" s="400">
        <f>$AJ$36</f>
      </c>
      <c r="W54" s="400">
        <f t="shared" si="20"/>
      </c>
      <c r="X54" s="401">
        <f>$AH$36</f>
      </c>
      <c r="Y54" s="399">
        <f>IF($AG$42="","",VLOOKUP($AG$42,'素データ'!$Z$21:$AA$23,2,FALSE))</f>
      </c>
      <c r="Z54" s="400">
        <f>$AJ$42</f>
      </c>
      <c r="AA54" s="400">
        <f t="shared" si="22"/>
      </c>
      <c r="AB54" s="401">
        <f>$AH$42</f>
      </c>
      <c r="AC54" s="399">
        <f>IF($AG$48="","",VLOOKUP($AG$48,'素データ'!$Z$21:$AA$23,2,FALSE))</f>
      </c>
      <c r="AD54" s="400">
        <f>$AJ$48</f>
      </c>
      <c r="AE54" s="400">
        <f t="shared" si="24"/>
      </c>
      <c r="AF54" s="401">
        <f>$AH$48</f>
      </c>
      <c r="AG54" s="661"/>
      <c r="AH54" s="662"/>
      <c r="AI54" s="662"/>
      <c r="AJ54" s="663"/>
      <c r="AK54" s="675"/>
      <c r="AL54" s="675"/>
      <c r="AM54" s="675"/>
      <c r="AN54" s="675"/>
      <c r="AO54" s="667"/>
      <c r="AP54" s="672"/>
      <c r="AQ54" s="672"/>
      <c r="AR54" s="669"/>
      <c r="AS54" s="456"/>
      <c r="AT54" s="17"/>
      <c r="AU54" s="636"/>
      <c r="AV54" s="633"/>
      <c r="AW54" s="627"/>
    </row>
    <row r="55" spans="1:49" ht="12.75" customHeight="1" hidden="1" thickBot="1">
      <c r="A55" s="703"/>
      <c r="B55" s="395"/>
      <c r="C55" s="648"/>
      <c r="D55" s="651"/>
      <c r="E55" s="402">
        <f>IF($AG$13="","",VLOOKUP($AG$13,'素データ'!$Z$21:$AA$23,2,FALSE))</f>
      </c>
      <c r="F55" s="403">
        <f>$AJ$13</f>
      </c>
      <c r="G55" s="403">
        <f t="shared" si="23"/>
      </c>
      <c r="H55" s="404">
        <f>$AH$13</f>
      </c>
      <c r="I55" s="402">
        <f>IF($AG$19="","",VLOOKUP($AG$19,'素データ'!$Z$21:$AA$23,2,FALSE))</f>
      </c>
      <c r="J55" s="403">
        <f>$AJ$19</f>
      </c>
      <c r="K55" s="403">
        <f t="shared" si="11"/>
      </c>
      <c r="L55" s="404">
        <f>$AH$19</f>
      </c>
      <c r="M55" s="402">
        <f>IF($AG$25="","",VLOOKUP($AG$25,'素データ'!$Z$21:$AA$23,2,FALSE))</f>
      </c>
      <c r="N55" s="403">
        <f>$AJ$25</f>
      </c>
      <c r="O55" s="403">
        <f t="shared" si="14"/>
      </c>
      <c r="P55" s="404">
        <f>$AH$25</f>
      </c>
      <c r="Q55" s="402">
        <f>IF($AG$31="","",VLOOKUP($AG$31,'素データ'!$Z$21:$AA$23,2,FALSE))</f>
      </c>
      <c r="R55" s="403">
        <f>$AJ$31</f>
      </c>
      <c r="S55" s="403">
        <f t="shared" si="17"/>
      </c>
      <c r="T55" s="404">
        <f>$AH$31</f>
      </c>
      <c r="U55" s="402">
        <f>IF($AG$37="","",VLOOKUP($AG$37,'素データ'!$Z$21:$AA$23,2,FALSE))</f>
      </c>
      <c r="V55" s="403">
        <f>$AJ$37</f>
      </c>
      <c r="W55" s="403">
        <f t="shared" si="20"/>
      </c>
      <c r="X55" s="404">
        <f>$AH$37</f>
      </c>
      <c r="Y55" s="402">
        <f>IF($AG$43="","",VLOOKUP($AG$43,'素データ'!$Z$21:$AA$23,2,FALSE))</f>
      </c>
      <c r="Z55" s="403">
        <f>$AJ$43</f>
      </c>
      <c r="AA55" s="403">
        <f t="shared" si="22"/>
      </c>
      <c r="AB55" s="404">
        <f>$AH$43</f>
      </c>
      <c r="AC55" s="402">
        <f>IF($AG$49="","",VLOOKUP($AG$49,'素データ'!$Z$21:$AA$23,2,FALSE))</f>
      </c>
      <c r="AD55" s="403">
        <f>$AJ$49</f>
      </c>
      <c r="AE55" s="403">
        <f t="shared" si="24"/>
      </c>
      <c r="AF55" s="404">
        <f>$AH$49</f>
      </c>
      <c r="AG55" s="664"/>
      <c r="AH55" s="665"/>
      <c r="AI55" s="665"/>
      <c r="AJ55" s="666"/>
      <c r="AK55" s="676"/>
      <c r="AL55" s="676"/>
      <c r="AM55" s="676"/>
      <c r="AN55" s="676"/>
      <c r="AO55" s="667"/>
      <c r="AP55" s="673"/>
      <c r="AQ55" s="673"/>
      <c r="AR55" s="670"/>
      <c r="AS55" s="456"/>
      <c r="AT55" s="17"/>
      <c r="AU55" s="637"/>
      <c r="AV55" s="634"/>
      <c r="AW55" s="628"/>
    </row>
    <row r="56" spans="1:49" ht="19.5" customHeight="1" thickBot="1">
      <c r="A56" s="54"/>
      <c r="B56" s="17"/>
      <c r="C56" s="43"/>
      <c r="D56" s="55"/>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56"/>
      <c r="AL56" s="56"/>
      <c r="AM56" s="56"/>
      <c r="AN56" s="56"/>
      <c r="AO56" s="137" t="s">
        <v>331</v>
      </c>
      <c r="AP56" s="139">
        <f>SUM(AP8:AP55)</f>
        <v>908</v>
      </c>
      <c r="AQ56" s="139">
        <f>SUM(AQ8:AQ55)</f>
        <v>908</v>
      </c>
      <c r="AR56" s="461">
        <f>SUM(AP56:AQ56)</f>
        <v>1816</v>
      </c>
      <c r="AS56" s="138" t="s">
        <v>334</v>
      </c>
      <c r="AU56" s="46"/>
      <c r="AV56" s="46"/>
      <c r="AW56" s="46"/>
    </row>
    <row r="57" spans="1:49" ht="19.5" customHeight="1" thickBot="1">
      <c r="A57" s="54"/>
      <c r="B57" s="17"/>
      <c r="C57" s="43"/>
      <c r="D57" s="55"/>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56"/>
      <c r="AL57" s="56"/>
      <c r="AM57" s="56"/>
      <c r="AN57" s="56"/>
      <c r="AO57" s="137"/>
      <c r="AP57" s="56"/>
      <c r="AQ57" s="56"/>
      <c r="AR57" s="462"/>
      <c r="AS57" s="138" t="s">
        <v>335</v>
      </c>
      <c r="AU57" s="46"/>
      <c r="AV57" s="46"/>
      <c r="AW57" s="46"/>
    </row>
    <row r="58" spans="1:50" ht="19.5" customHeight="1" thickBot="1">
      <c r="A58" s="123" t="s">
        <v>263</v>
      </c>
      <c r="B58" s="17"/>
      <c r="C58" s="43"/>
      <c r="D58" s="55"/>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56"/>
      <c r="AL58" s="56"/>
      <c r="AM58" s="56"/>
      <c r="AN58" s="56"/>
      <c r="AO58" s="57"/>
      <c r="AP58" s="56"/>
      <c r="AQ58" s="56"/>
      <c r="AR58" s="462"/>
      <c r="AS58" s="54"/>
      <c r="AU58" s="46"/>
      <c r="AV58" s="46"/>
      <c r="AW58" s="140"/>
      <c r="AX58" s="2" t="s">
        <v>333</v>
      </c>
    </row>
    <row r="59" spans="1:44" ht="19.5" customHeight="1" thickBot="1">
      <c r="A59" s="121" t="s">
        <v>0</v>
      </c>
      <c r="B59" s="2" t="s">
        <v>264</v>
      </c>
      <c r="C59" s="2"/>
      <c r="AO59" s="121" t="s">
        <v>332</v>
      </c>
      <c r="AP59" s="136">
        <f>SUM('素データ'!S:S)</f>
        <v>728</v>
      </c>
      <c r="AQ59" s="136">
        <f>SUM('素データ'!T:T)</f>
        <v>180</v>
      </c>
      <c r="AR59" s="463">
        <f>SUM(AP59:AQ59)</f>
        <v>908</v>
      </c>
    </row>
    <row r="60" spans="1:48" s="3" customFormat="1" ht="19.5" customHeight="1">
      <c r="A60" s="121" t="s">
        <v>265</v>
      </c>
      <c r="B60" s="2" t="s">
        <v>266</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121"/>
      <c r="AS60" s="2"/>
      <c r="AT60" s="2"/>
      <c r="AU60" s="2"/>
      <c r="AV60" s="2"/>
    </row>
    <row r="61" spans="1:48" s="3" customFormat="1" ht="19.5" customHeight="1">
      <c r="A61" s="121" t="s">
        <v>267</v>
      </c>
      <c r="B61" s="702" t="s">
        <v>440</v>
      </c>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2"/>
      <c r="AA61" s="702"/>
      <c r="AB61" s="702"/>
      <c r="AC61" s="702"/>
      <c r="AD61" s="702"/>
      <c r="AE61" s="702"/>
      <c r="AF61" s="702"/>
      <c r="AG61" s="702"/>
      <c r="AH61" s="702"/>
      <c r="AI61" s="702"/>
      <c r="AJ61" s="702"/>
      <c r="AK61" s="702"/>
      <c r="AL61" s="2"/>
      <c r="AM61" s="2"/>
      <c r="AN61" s="2"/>
      <c r="AO61" s="2"/>
      <c r="AP61" s="2"/>
      <c r="AQ61" s="2"/>
      <c r="AR61" s="121"/>
      <c r="AS61" s="2"/>
      <c r="AT61" s="2"/>
      <c r="AU61" s="2"/>
      <c r="AV61" s="2"/>
    </row>
    <row r="62" spans="1:50" s="3" customFormat="1" ht="19.5" customHeight="1">
      <c r="A62" s="2"/>
      <c r="B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121"/>
      <c r="AS62" s="2"/>
      <c r="AT62" s="2"/>
      <c r="AU62" s="2"/>
      <c r="AV62" s="2"/>
      <c r="AW62" s="2"/>
      <c r="AX62" s="2"/>
    </row>
    <row r="63" spans="1:50" s="3" customFormat="1" ht="19.5" customHeight="1">
      <c r="A63" s="2"/>
      <c r="B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121"/>
      <c r="AS63" s="2"/>
      <c r="AT63" s="2"/>
      <c r="AU63" s="2"/>
      <c r="AV63" s="2"/>
      <c r="AW63" s="2"/>
      <c r="AX63" s="2"/>
    </row>
    <row r="64" ht="19.5" customHeight="1"/>
    <row r="65" ht="19.5" customHeight="1"/>
    <row r="66" ht="19.5" customHeight="1"/>
    <row r="67" ht="19.5" customHeight="1"/>
    <row r="68" ht="19.5" customHeight="1"/>
    <row r="69" ht="19.5" customHeight="1"/>
    <row r="70" spans="3:44" s="42" customFormat="1" ht="24.75" customHeight="1">
      <c r="C70" s="46"/>
      <c r="AR70" s="464"/>
    </row>
    <row r="71" spans="3:44" s="42" customFormat="1" ht="24.75" customHeight="1">
      <c r="C71" s="46"/>
      <c r="AR71" s="464"/>
    </row>
    <row r="72" spans="3:44" s="42" customFormat="1" ht="24.75" customHeight="1">
      <c r="C72" s="46"/>
      <c r="AR72" s="464"/>
    </row>
    <row r="73" spans="3:44" s="42" customFormat="1" ht="24.75" customHeight="1">
      <c r="C73" s="46"/>
      <c r="AR73" s="464"/>
    </row>
  </sheetData>
  <sheetProtection/>
  <mergeCells count="152">
    <mergeCell ref="Z2:AL2"/>
    <mergeCell ref="B61:AK61"/>
    <mergeCell ref="A32:A37"/>
    <mergeCell ref="A50:A55"/>
    <mergeCell ref="A6:A7"/>
    <mergeCell ref="A8:A13"/>
    <mergeCell ref="A14:A19"/>
    <mergeCell ref="A20:A25"/>
    <mergeCell ref="A26:A31"/>
    <mergeCell ref="E8:H13"/>
    <mergeCell ref="I14:L19"/>
    <mergeCell ref="AU50:AU55"/>
    <mergeCell ref="AV50:AV55"/>
    <mergeCell ref="AW50:AW55"/>
    <mergeCell ref="AU38:AU43"/>
    <mergeCell ref="AV38:AV43"/>
    <mergeCell ref="AW38:AW43"/>
    <mergeCell ref="AU44:AU49"/>
    <mergeCell ref="AU26:AU31"/>
    <mergeCell ref="AV26:AV31"/>
    <mergeCell ref="AW26:AW31"/>
    <mergeCell ref="AU32:AU37"/>
    <mergeCell ref="AV32:AV37"/>
    <mergeCell ref="AW32:AW37"/>
    <mergeCell ref="AW14:AW19"/>
    <mergeCell ref="AU20:AU25"/>
    <mergeCell ref="AV20:AV25"/>
    <mergeCell ref="AW20:AW25"/>
    <mergeCell ref="AW8:AW13"/>
    <mergeCell ref="AG7:AJ7"/>
    <mergeCell ref="AP6:AP7"/>
    <mergeCell ref="AU6:AW6"/>
    <mergeCell ref="AK6:AK7"/>
    <mergeCell ref="AL6:AL7"/>
    <mergeCell ref="AM6:AM7"/>
    <mergeCell ref="AL8:AL13"/>
    <mergeCell ref="AR8:AR13"/>
    <mergeCell ref="AQ8:AQ13"/>
    <mergeCell ref="AV8:AV13"/>
    <mergeCell ref="AU8:AU13"/>
    <mergeCell ref="AN8:AN13"/>
    <mergeCell ref="AM8:AM13"/>
    <mergeCell ref="AO8:AO13"/>
    <mergeCell ref="C4:AR4"/>
    <mergeCell ref="C6:D7"/>
    <mergeCell ref="AO6:AO7"/>
    <mergeCell ref="AR6:AR7"/>
    <mergeCell ref="E6:H6"/>
    <mergeCell ref="E7:H7"/>
    <mergeCell ref="I6:L6"/>
    <mergeCell ref="I7:L7"/>
    <mergeCell ref="AN6:AN7"/>
    <mergeCell ref="AQ6:AQ7"/>
    <mergeCell ref="M6:P6"/>
    <mergeCell ref="M7:P7"/>
    <mergeCell ref="Q6:T6"/>
    <mergeCell ref="Q7:T7"/>
    <mergeCell ref="U6:X6"/>
    <mergeCell ref="AG6:AJ6"/>
    <mergeCell ref="U7:X7"/>
    <mergeCell ref="Y6:AB6"/>
    <mergeCell ref="Y7:AB7"/>
    <mergeCell ref="AC7:AF7"/>
    <mergeCell ref="AC6:AF6"/>
    <mergeCell ref="AK14:AK19"/>
    <mergeCell ref="AL14:AL19"/>
    <mergeCell ref="AM14:AM19"/>
    <mergeCell ref="AN14:AN19"/>
    <mergeCell ref="AO14:AO19"/>
    <mergeCell ref="AR14:AR19"/>
    <mergeCell ref="AK8:AK13"/>
    <mergeCell ref="AR26:AR31"/>
    <mergeCell ref="AQ14:AQ19"/>
    <mergeCell ref="AL26:AL31"/>
    <mergeCell ref="AM26:AM31"/>
    <mergeCell ref="AN26:AN31"/>
    <mergeCell ref="AL20:AL25"/>
    <mergeCell ref="AP8:AP13"/>
    <mergeCell ref="AO32:AO37"/>
    <mergeCell ref="AR32:AR37"/>
    <mergeCell ref="AP20:AP25"/>
    <mergeCell ref="AQ20:AQ25"/>
    <mergeCell ref="AQ32:AQ37"/>
    <mergeCell ref="AP26:AP31"/>
    <mergeCell ref="AQ26:AQ31"/>
    <mergeCell ref="AO20:AO25"/>
    <mergeCell ref="AO26:AO31"/>
    <mergeCell ref="AO50:AO55"/>
    <mergeCell ref="AR50:AR55"/>
    <mergeCell ref="AK32:AK37"/>
    <mergeCell ref="AL32:AL37"/>
    <mergeCell ref="AP50:AP55"/>
    <mergeCell ref="AQ50:AQ55"/>
    <mergeCell ref="AK50:AK55"/>
    <mergeCell ref="AL50:AL55"/>
    <mergeCell ref="AM50:AM55"/>
    <mergeCell ref="AN50:AN55"/>
    <mergeCell ref="AG50:AJ55"/>
    <mergeCell ref="C8:C13"/>
    <mergeCell ref="D8:D13"/>
    <mergeCell ref="C14:C19"/>
    <mergeCell ref="D14:D19"/>
    <mergeCell ref="C20:C25"/>
    <mergeCell ref="D20:D25"/>
    <mergeCell ref="C26:C31"/>
    <mergeCell ref="D26:D31"/>
    <mergeCell ref="Q26:T31"/>
    <mergeCell ref="C50:C55"/>
    <mergeCell ref="D50:D55"/>
    <mergeCell ref="C32:C37"/>
    <mergeCell ref="C38:C43"/>
    <mergeCell ref="D38:D43"/>
    <mergeCell ref="C44:C49"/>
    <mergeCell ref="D44:D49"/>
    <mergeCell ref="D32:D37"/>
    <mergeCell ref="AO38:AO43"/>
    <mergeCell ref="AP38:AP43"/>
    <mergeCell ref="AK38:AK43"/>
    <mergeCell ref="P2:R2"/>
    <mergeCell ref="S2:X2"/>
    <mergeCell ref="AP32:AP37"/>
    <mergeCell ref="U32:X37"/>
    <mergeCell ref="AM32:AM37"/>
    <mergeCell ref="AN32:AN37"/>
    <mergeCell ref="AL38:AL43"/>
    <mergeCell ref="AO44:AO49"/>
    <mergeCell ref="AP44:AP49"/>
    <mergeCell ref="AK44:AK49"/>
    <mergeCell ref="AL44:AL49"/>
    <mergeCell ref="AM44:AM49"/>
    <mergeCell ref="AN44:AN49"/>
    <mergeCell ref="AM38:AM43"/>
    <mergeCell ref="AN38:AN43"/>
    <mergeCell ref="M20:P25"/>
    <mergeCell ref="AM20:AM25"/>
    <mergeCell ref="AN20:AN25"/>
    <mergeCell ref="AK26:AK31"/>
    <mergeCell ref="AK20:AK25"/>
    <mergeCell ref="AP14:AP19"/>
    <mergeCell ref="AW44:AW49"/>
    <mergeCell ref="AQ44:AQ49"/>
    <mergeCell ref="AR44:AR49"/>
    <mergeCell ref="AQ38:AQ43"/>
    <mergeCell ref="AR38:AR43"/>
    <mergeCell ref="AV44:AV49"/>
    <mergeCell ref="AR20:AR25"/>
    <mergeCell ref="AU14:AU19"/>
    <mergeCell ref="AV14:AV19"/>
    <mergeCell ref="A38:A43"/>
    <mergeCell ref="A44:A49"/>
    <mergeCell ref="Y38:AB43"/>
    <mergeCell ref="AC44:AF49"/>
  </mergeCells>
  <conditionalFormatting sqref="AK8:AK58">
    <cfRule type="cellIs" priority="1" dxfId="0" operator="greaterThan" stopIfTrue="1">
      <formula>30</formula>
    </cfRule>
  </conditionalFormatting>
  <printOptions/>
  <pageMargins left="0.75" right="0.75" top="1" bottom="1"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2"/>
  </sheetPr>
  <dimension ref="B2:BI15"/>
  <sheetViews>
    <sheetView showGridLines="0" zoomScale="70" zoomScaleNormal="70" workbookViewId="0" topLeftCell="A1">
      <selection activeCell="P35" sqref="P35"/>
    </sheetView>
  </sheetViews>
  <sheetFormatPr defaultColWidth="8.796875" defaultRowHeight="24.75" customHeight="1"/>
  <cols>
    <col min="1" max="1" width="0.8984375" style="2" customWidth="1"/>
    <col min="2" max="2" width="3" style="3" customWidth="1"/>
    <col min="3" max="3" width="18" style="2" customWidth="1"/>
    <col min="4" max="45" width="2.59765625" style="2" customWidth="1"/>
    <col min="46" max="51" width="2.59765625" style="2" hidden="1" customWidth="1"/>
    <col min="52" max="52" width="7.59765625" style="2" customWidth="1"/>
    <col min="53" max="54" width="7.19921875" style="2" customWidth="1"/>
    <col min="55" max="55" width="5.69921875" style="2" customWidth="1"/>
    <col min="56" max="56" width="8.69921875" style="2" customWidth="1"/>
    <col min="57" max="57" width="8.5" style="2" customWidth="1"/>
    <col min="58" max="58" width="3.59765625" style="2" customWidth="1"/>
    <col min="59" max="59" width="8.69921875" style="2" customWidth="1"/>
    <col min="60" max="60" width="8.19921875" style="2" customWidth="1"/>
    <col min="61" max="61" width="8.3984375" style="2" customWidth="1"/>
    <col min="62" max="16384" width="3.59765625" style="2" customWidth="1"/>
  </cols>
  <sheetData>
    <row r="2" spans="21:47" ht="24.75" customHeight="1">
      <c r="U2" s="644" t="s">
        <v>248</v>
      </c>
      <c r="V2" s="644"/>
      <c r="W2" s="644"/>
      <c r="X2" s="645" t="str">
        <f>IF(VLOOKUP("1",'素データ'!V:W,2,FALSE)="","",VLOOKUP("1",'素データ'!V:W,2,FALSE))</f>
        <v>完了</v>
      </c>
      <c r="Y2" s="645"/>
      <c r="Z2" s="645"/>
      <c r="AA2" s="645"/>
      <c r="AB2" s="645"/>
      <c r="AC2" s="645"/>
      <c r="AD2" s="706">
        <f>IF(OR(X2="",X2="完了"),"","分まで表示")</f>
      </c>
      <c r="AE2" s="702"/>
      <c r="AF2" s="702"/>
      <c r="AG2" s="702"/>
      <c r="AH2" s="702"/>
      <c r="AI2" s="702"/>
      <c r="AJ2" s="702"/>
      <c r="AK2" s="702"/>
      <c r="AL2" s="702"/>
      <c r="AM2" s="702"/>
      <c r="AN2" s="702"/>
      <c r="AO2" s="702"/>
      <c r="AP2" s="702"/>
      <c r="AQ2" s="702"/>
      <c r="AR2" s="702"/>
      <c r="AS2" s="702"/>
      <c r="AT2" s="702"/>
      <c r="AU2" s="702"/>
    </row>
    <row r="4" spans="2:61" ht="24.75" customHeight="1">
      <c r="B4" s="686" t="s">
        <v>437</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c r="BD4" s="686"/>
      <c r="BE4" s="686"/>
      <c r="BG4" s="723" t="s">
        <v>65</v>
      </c>
      <c r="BH4" s="723"/>
      <c r="BI4" s="723"/>
    </row>
    <row r="5" ht="13.5" customHeight="1" thickBot="1"/>
    <row r="6" spans="2:61" s="3" customFormat="1" ht="24.75" customHeight="1" thickBot="1">
      <c r="B6" s="687"/>
      <c r="C6" s="688"/>
      <c r="D6" s="677" t="str">
        <f>B8</f>
        <v>A</v>
      </c>
      <c r="E6" s="678"/>
      <c r="F6" s="678"/>
      <c r="G6" s="678"/>
      <c r="H6" s="678"/>
      <c r="I6" s="679"/>
      <c r="J6" s="677" t="str">
        <f>B9</f>
        <v>B</v>
      </c>
      <c r="K6" s="678"/>
      <c r="L6" s="678"/>
      <c r="M6" s="678"/>
      <c r="N6" s="678"/>
      <c r="O6" s="679"/>
      <c r="P6" s="677" t="str">
        <f>B10</f>
        <v>C</v>
      </c>
      <c r="Q6" s="678"/>
      <c r="R6" s="678"/>
      <c r="S6" s="678"/>
      <c r="T6" s="678"/>
      <c r="U6" s="679"/>
      <c r="V6" s="677" t="str">
        <f>B11</f>
        <v>D</v>
      </c>
      <c r="W6" s="678"/>
      <c r="X6" s="678"/>
      <c r="Y6" s="678"/>
      <c r="Z6" s="678"/>
      <c r="AA6" s="679"/>
      <c r="AB6" s="677" t="str">
        <f>B12</f>
        <v>E</v>
      </c>
      <c r="AC6" s="678"/>
      <c r="AD6" s="678"/>
      <c r="AE6" s="678"/>
      <c r="AF6" s="678"/>
      <c r="AG6" s="678"/>
      <c r="AH6" s="677" t="str">
        <f>B13</f>
        <v>F</v>
      </c>
      <c r="AI6" s="678"/>
      <c r="AJ6" s="678"/>
      <c r="AK6" s="678"/>
      <c r="AL6" s="678"/>
      <c r="AM6" s="679"/>
      <c r="AN6" s="677" t="str">
        <f>B14</f>
        <v>G</v>
      </c>
      <c r="AO6" s="678"/>
      <c r="AP6" s="678"/>
      <c r="AQ6" s="678"/>
      <c r="AR6" s="678"/>
      <c r="AS6" s="679"/>
      <c r="AT6" s="680" t="str">
        <f>B15</f>
        <v>H</v>
      </c>
      <c r="AU6" s="681"/>
      <c r="AV6" s="681"/>
      <c r="AW6" s="681"/>
      <c r="AX6" s="681"/>
      <c r="AY6" s="682"/>
      <c r="AZ6" s="691" t="s">
        <v>1</v>
      </c>
      <c r="BA6" s="691" t="s">
        <v>2</v>
      </c>
      <c r="BB6" s="691" t="s">
        <v>3</v>
      </c>
      <c r="BC6" s="693" t="s">
        <v>4</v>
      </c>
      <c r="BD6" s="691" t="s">
        <v>5</v>
      </c>
      <c r="BE6" s="691" t="s">
        <v>51</v>
      </c>
      <c r="BG6" s="722"/>
      <c r="BH6" s="722"/>
      <c r="BI6" s="722"/>
    </row>
    <row r="7" spans="2:61" s="3" customFormat="1" ht="24.75" customHeight="1" thickBot="1">
      <c r="B7" s="689"/>
      <c r="C7" s="690"/>
      <c r="D7" s="710" t="str">
        <f>VLOOKUP(D6,$B$8:$C$15,2,FALSE)</f>
        <v>ファイターズＡ</v>
      </c>
      <c r="E7" s="711"/>
      <c r="F7" s="711"/>
      <c r="G7" s="711"/>
      <c r="H7" s="711"/>
      <c r="I7" s="712"/>
      <c r="J7" s="710" t="str">
        <f>VLOOKUP(J6,$B$8:$C$15,2,FALSE)</f>
        <v>サンデーズＪｒＡ</v>
      </c>
      <c r="K7" s="711"/>
      <c r="L7" s="711"/>
      <c r="M7" s="711"/>
      <c r="N7" s="711"/>
      <c r="O7" s="712"/>
      <c r="P7" s="710" t="str">
        <f>VLOOKUP(P6,$B$8:$C$15,2,FALSE)</f>
        <v>ファイターズＢ</v>
      </c>
      <c r="Q7" s="711"/>
      <c r="R7" s="711"/>
      <c r="S7" s="711"/>
      <c r="T7" s="711"/>
      <c r="U7" s="712"/>
      <c r="V7" s="710" t="str">
        <f>VLOOKUP(V6,$B$8:$C$15,2,FALSE)</f>
        <v>クッパーズＪｒ</v>
      </c>
      <c r="W7" s="711"/>
      <c r="X7" s="711"/>
      <c r="Y7" s="711"/>
      <c r="Z7" s="711"/>
      <c r="AA7" s="712"/>
      <c r="AB7" s="710" t="str">
        <f>VLOOKUP(AB6,$B$8:$C$15,2,FALSE)</f>
        <v>パイレーツ</v>
      </c>
      <c r="AC7" s="711"/>
      <c r="AD7" s="711"/>
      <c r="AE7" s="711"/>
      <c r="AF7" s="711"/>
      <c r="AG7" s="712"/>
      <c r="AH7" s="710" t="str">
        <f>VLOOKUP(AH6,$B$8:$C$15,2,FALSE)</f>
        <v>ベアーズ</v>
      </c>
      <c r="AI7" s="711"/>
      <c r="AJ7" s="711"/>
      <c r="AK7" s="711"/>
      <c r="AL7" s="711"/>
      <c r="AM7" s="712"/>
      <c r="AN7" s="710" t="str">
        <f>VLOOKUP(AN6,$B$8:$C$15,2,FALSE)</f>
        <v>サンデーズＪｒＢ</v>
      </c>
      <c r="AO7" s="711"/>
      <c r="AP7" s="711"/>
      <c r="AQ7" s="711"/>
      <c r="AR7" s="711"/>
      <c r="AS7" s="712"/>
      <c r="AT7" s="695" t="str">
        <f>VLOOKUP(AT6,$B$8:$C$15,2,FALSE)</f>
        <v>Dummy</v>
      </c>
      <c r="AU7" s="696"/>
      <c r="AV7" s="696"/>
      <c r="AW7" s="696"/>
      <c r="AX7" s="696"/>
      <c r="AY7" s="697"/>
      <c r="AZ7" s="692"/>
      <c r="BA7" s="692"/>
      <c r="BB7" s="692"/>
      <c r="BC7" s="694"/>
      <c r="BD7" s="692"/>
      <c r="BE7" s="692"/>
      <c r="BG7" s="67" t="s">
        <v>2</v>
      </c>
      <c r="BH7" s="68" t="s">
        <v>3</v>
      </c>
      <c r="BI7" s="69" t="s">
        <v>4</v>
      </c>
    </row>
    <row r="8" spans="2:61" ht="30" customHeight="1">
      <c r="B8" s="445" t="str">
        <f>'素データ'!Y7</f>
        <v>A</v>
      </c>
      <c r="C8" s="446" t="str">
        <f>VLOOKUP(B8,'素データ'!Y7:Z14,2,FALSE)</f>
        <v>ファイターズＡ</v>
      </c>
      <c r="D8" s="716" t="s">
        <v>6</v>
      </c>
      <c r="E8" s="717"/>
      <c r="F8" s="717"/>
      <c r="G8" s="717"/>
      <c r="H8" s="717"/>
      <c r="I8" s="718"/>
      <c r="J8" s="422" t="str">
        <f>IF(ISNA(VLOOKUP("AB1",'素データ'!$P:$R,3,FALSE)),"",VLOOKUP("AB1",'素データ'!$P:$R,3,FALSE))</f>
        <v>●</v>
      </c>
      <c r="K8" s="423" t="str">
        <f>IF(ISNA(VLOOKUP("AB2",'素データ'!$P:$R,3,FALSE)),"",VLOOKUP("AB2",'素データ'!$P:$R,3,FALSE))</f>
        <v>○</v>
      </c>
      <c r="L8" s="423" t="str">
        <f>IF(ISNA(VLOOKUP("AB3",'素データ'!$P:$R,3,FALSE)),"",VLOOKUP("AB3",'素データ'!$P:$R,3,FALSE))</f>
        <v>○</v>
      </c>
      <c r="M8" s="423">
        <f>IF(ISNA(VLOOKUP("AB4",'素データ'!$P:$R,3,FALSE)),"",VLOOKUP("AB4",'素データ'!$P:$R,3,FALSE))</f>
      </c>
      <c r="N8" s="423">
        <f>IF(ISNA(VLOOKUP("AB5",'素データ'!$P:$R,3,FALSE)),"",VLOOKUP("AB5",'素データ'!$P:$R,3,FALSE))</f>
      </c>
      <c r="O8" s="423">
        <f>IF(ISNA(VLOOKUP("AB6",'素データ'!$P:$R,3,FALSE)),"",VLOOKUP("AB6",'素データ'!$P:$R,3,FALSE))</f>
      </c>
      <c r="P8" s="422" t="str">
        <f>IF(ISNA(VLOOKUP("AC1",'素データ'!$P:$R,3,FALSE)),"",VLOOKUP("AC1",'素データ'!$P:$R,3,FALSE))</f>
        <v>○</v>
      </c>
      <c r="Q8" s="423" t="str">
        <f>IF(ISNA(VLOOKUP("AC2",'素データ'!$P:$R,3,FALSE)),"",VLOOKUP("AC2",'素データ'!$P:$R,3,FALSE))</f>
        <v>●</v>
      </c>
      <c r="R8" s="423" t="str">
        <f>IF(ISNA(VLOOKUP("AC3",'素データ'!$P:$R,3,FALSE)),"",VLOOKUP("AC3",'素データ'!$P:$R,3,FALSE))</f>
        <v>●</v>
      </c>
      <c r="S8" s="423">
        <f>IF(ISNA(VLOOKUP("AC4",'素データ'!$P:$R,3,FALSE)),"",VLOOKUP("AC4",'素データ'!$P:$R,3,FALSE))</f>
      </c>
      <c r="T8" s="423">
        <f>IF(ISNA(VLOOKUP("AC5",'素データ'!$P:$R,3,FALSE)),"",VLOOKUP("AC5",'素データ'!$P:$R,3,FALSE))</f>
      </c>
      <c r="U8" s="423">
        <f>IF(ISNA(VLOOKUP("AC6",'素データ'!$P:$R,3,FALSE)),"",VLOOKUP("AC6",'素データ'!$P:$R,3,FALSE))</f>
      </c>
      <c r="V8" s="422" t="str">
        <f>IF(ISNA(VLOOKUP("AD1",'素データ'!$P:$R,3,FALSE)),"",VLOOKUP("AD1",'素データ'!$P:$R,3,FALSE))</f>
        <v>△</v>
      </c>
      <c r="W8" s="423" t="str">
        <f>IF(ISNA(VLOOKUP("AD2",'素データ'!$P:$R,3,FALSE)),"",VLOOKUP("AD2",'素データ'!$P:$R,3,FALSE))</f>
        <v>○</v>
      </c>
      <c r="X8" s="423" t="str">
        <f>IF(ISNA(VLOOKUP("AD3",'素データ'!$P:$R,3,FALSE)),"",VLOOKUP("AD3",'素データ'!$P:$R,3,FALSE))</f>
        <v>○</v>
      </c>
      <c r="Y8" s="423">
        <f>IF(ISNA(VLOOKUP("AD4",'素データ'!$P:$R,3,FALSE)),"",VLOOKUP("AD4",'素データ'!$P:$R,3,FALSE))</f>
      </c>
      <c r="Z8" s="423">
        <f>IF(ISNA(VLOOKUP("AD5",'素データ'!$P:$R,3,FALSE)),"",VLOOKUP("AD5",'素データ'!$P:$R,3,FALSE))</f>
      </c>
      <c r="AA8" s="423">
        <f>IF(ISNA(VLOOKUP("AD6",'素データ'!$P:$R,3,FALSE)),"",VLOOKUP("AD6",'素データ'!$P:$R,3,FALSE))</f>
      </c>
      <c r="AB8" s="422" t="str">
        <f>IF(ISNA(VLOOKUP("AE1",'素データ'!$P:$R,3,FALSE)),"",VLOOKUP("AE1",'素データ'!$P:$R,3,FALSE))</f>
        <v>○</v>
      </c>
      <c r="AC8" s="423" t="str">
        <f>IF(ISNA(VLOOKUP("AE2",'素データ'!$P:$R,3,FALSE)),"",VLOOKUP("AE2",'素データ'!$P:$R,3,FALSE))</f>
        <v>○</v>
      </c>
      <c r="AD8" s="423" t="str">
        <f>IF(ISNA(VLOOKUP("AE3",'素データ'!$P:$R,3,FALSE)),"",VLOOKUP("AE3",'素データ'!$P:$R,3,FALSE))</f>
        <v>○</v>
      </c>
      <c r="AE8" s="423">
        <f>IF(ISNA(VLOOKUP("AE4",'素データ'!$P:$R,3,FALSE)),"",VLOOKUP("AE4",'素データ'!$P:$R,3,FALSE))</f>
      </c>
      <c r="AF8" s="423">
        <f>IF(ISNA(VLOOKUP("AE5",'素データ'!$P:$R,3,FALSE)),"",VLOOKUP("AE5",'素データ'!$P:$R,3,FALSE))</f>
      </c>
      <c r="AG8" s="423">
        <f>IF(ISNA(VLOOKUP("AE6",'素データ'!$P:$R,3,FALSE)),"",VLOOKUP("AE6",'素データ'!$P:$R,3,FALSE))</f>
      </c>
      <c r="AH8" s="422" t="str">
        <f>IF(ISNA(VLOOKUP("AF1",'素データ'!$P:$R,3,FALSE)),"",VLOOKUP("AF1",'素データ'!$P:$R,3,FALSE))</f>
        <v>○</v>
      </c>
      <c r="AI8" s="423" t="str">
        <f>IF(ISNA(VLOOKUP("AF2",'素データ'!$P:$R,3,FALSE)),"",VLOOKUP("AF2",'素データ'!$P:$R,3,FALSE))</f>
        <v>○</v>
      </c>
      <c r="AJ8" s="423" t="str">
        <f>IF(ISNA(VLOOKUP("AF3",'素データ'!$P:$R,3,FALSE)),"",VLOOKUP("AF3",'素データ'!$P:$R,3,FALSE))</f>
        <v>○</v>
      </c>
      <c r="AK8" s="423">
        <f>IF(ISNA(VLOOKUP("AF4",'素データ'!$P:$R,3,FALSE)),"",VLOOKUP("AF4",'素データ'!$P:$R,3,FALSE))</f>
      </c>
      <c r="AL8" s="423">
        <f>IF(ISNA(VLOOKUP("AF5",'素データ'!$P:$R,3,FALSE)),"",VLOOKUP("AF5",'素データ'!$P:$R,3,FALSE))</f>
      </c>
      <c r="AM8" s="423">
        <f>IF(ISNA(VLOOKUP("AF6",'素データ'!$P:$R,3,FALSE)),"",VLOOKUP("AF6",'素データ'!$P:$R,3,FALSE))</f>
      </c>
      <c r="AN8" s="422" t="str">
        <f>IF(ISNA(VLOOKUP("AG1",'素データ'!$P:$R,3,FALSE)),"",VLOOKUP("AG1",'素データ'!$P:$R,3,FALSE))</f>
        <v>○</v>
      </c>
      <c r="AO8" s="423" t="str">
        <f>IF(ISNA(VLOOKUP("AG2",'素データ'!$P:$R,3,FALSE)),"",VLOOKUP("AG2",'素データ'!$P:$R,3,FALSE))</f>
        <v>○</v>
      </c>
      <c r="AP8" s="423" t="str">
        <f>IF(ISNA(VLOOKUP("AG3",'素データ'!$P:$R,3,FALSE)),"",VLOOKUP("AG3",'素データ'!$P:$R,3,FALSE))</f>
        <v>○</v>
      </c>
      <c r="AQ8" s="423">
        <f>IF(ISNA(VLOOKUP("AG4",'素データ'!$P:$R,3,FALSE)),"",VLOOKUP("AG4",'素データ'!$P:$R,3,FALSE))</f>
      </c>
      <c r="AR8" s="423">
        <f>IF(ISNA(VLOOKUP("AG5",'素データ'!$P:$R,3,FALSE)),"",VLOOKUP("AG5",'素データ'!$P:$R,3,FALSE))</f>
      </c>
      <c r="AS8" s="423">
        <f>IF(ISNA(VLOOKUP("AG6",'素データ'!$P:$R,3,FALSE)),"",VLOOKUP("AG6",'素データ'!$P:$R,3,FALSE))</f>
      </c>
      <c r="AT8" s="424">
        <f>IF(ISNA(VLOOKUP("AH1",'素データ'!$P:$R,3,FALSE)),"",VLOOKUP("AH1",'素データ'!$P:$R,3,FALSE))</f>
      </c>
      <c r="AU8" s="425">
        <f>IF(ISNA(VLOOKUP("AH2",'素データ'!$P:$R,3,FALSE)),"",VLOOKUP("AH2",'素データ'!$P:$R,3,FALSE))</f>
      </c>
      <c r="AV8" s="425">
        <f>IF(ISNA(VLOOKUP("AH3",'素データ'!$P:$R,3,FALSE)),"",VLOOKUP("AH3",'素データ'!$P:$R,3,FALSE))</f>
      </c>
      <c r="AW8" s="425">
        <f>IF(ISNA(VLOOKUP("AH4",'素データ'!$P:$R,3,FALSE)),"",VLOOKUP("AH4",'素データ'!$P:$R,3,FALSE))</f>
      </c>
      <c r="AX8" s="425">
        <f>IF(ISNA(VLOOKUP("AH5",'素データ'!$P:$R,3,FALSE)),"",VLOOKUP("AH5",'素データ'!$P:$R,3,FALSE))</f>
      </c>
      <c r="AY8" s="425">
        <f>IF(ISNA(VLOOKUP("AH6",'素データ'!$P:$R,3,FALSE)),"",VLOOKUP("AH6",'素データ'!$P:$R,3,FALSE))</f>
      </c>
      <c r="AZ8" s="426">
        <f aca="true" t="shared" si="0" ref="AZ8:AZ15">SUM(BA8:BC8)</f>
        <v>18</v>
      </c>
      <c r="BA8" s="427">
        <f aca="true" t="shared" si="1" ref="BA8:BA15">COUNTIF(D8:AY8,"○")</f>
        <v>14</v>
      </c>
      <c r="BB8" s="426">
        <f aca="true" t="shared" si="2" ref="BB8:BB15">COUNTIF(D8:AY8,"●")</f>
        <v>3</v>
      </c>
      <c r="BC8" s="427">
        <f aca="true" t="shared" si="3" ref="BC8:BC15">COUNTIF(D8:AY8,"△")</f>
        <v>1</v>
      </c>
      <c r="BD8" s="428">
        <f aca="true" t="shared" si="4" ref="BD8:BD15">BA8/(BA8+BB8)</f>
        <v>0.8235294117647058</v>
      </c>
      <c r="BE8" s="489">
        <f aca="true" t="shared" si="5" ref="BE8:BE14">RANK(BD8,$BD$8:$BD$14,0)</f>
        <v>2</v>
      </c>
      <c r="BG8" s="11" t="str">
        <f>IF(BA8=((DCOUNTA('素データ'!$F$5:$L$69,"試合結果",criteria!B1:H2))+(DCOUNTA('素データ'!$F$5:$L$69,"試合結果",criteria!B3:H4))),"OK","NG")</f>
        <v>OK</v>
      </c>
      <c r="BH8" s="12" t="str">
        <f>IF(BB8=((DCOUNTA('素データ'!$F$5:$L$69,"試合結果",criteria!B5:H6))+(DCOUNTA('素データ'!$F$5:$L$69,"試合結果",criteria!B7:H8))),"OK","NG")</f>
        <v>OK</v>
      </c>
      <c r="BI8" s="13" t="str">
        <f>IF(BC8=((DCOUNTA('素データ'!$F$5:$L$69,"試合結果",criteria!B9:H10))+(DCOUNTA('素データ'!$F$5:$L$69,"試合結果",criteria!B11:H12))),"OK","NG")</f>
        <v>OK</v>
      </c>
    </row>
    <row r="9" spans="2:61" ht="30" customHeight="1">
      <c r="B9" s="447" t="str">
        <f>'素データ'!Y8</f>
        <v>B</v>
      </c>
      <c r="C9" s="448" t="str">
        <f>VLOOKUP(B9,'素データ'!Y7:Z14,2,FALSE)</f>
        <v>サンデーズＪｒＡ</v>
      </c>
      <c r="D9" s="438" t="str">
        <f>IF(J8="","",VLOOKUP(J8,'素データ'!$Z$21:$AA$23,2,FALSE))</f>
        <v>○</v>
      </c>
      <c r="E9" s="439" t="str">
        <f>IF(K8="","",VLOOKUP(K8,'素データ'!$Z$21:$AA$23,2,FALSE))</f>
        <v>●</v>
      </c>
      <c r="F9" s="439" t="str">
        <f>IF(L8="","",VLOOKUP(L8,'素データ'!$Z$21:$AA$23,2,FALSE))</f>
        <v>●</v>
      </c>
      <c r="G9" s="439">
        <f>IF(M8="","",VLOOKUP(M8,'素データ'!$Z$21:$AA$23,2,FALSE))</f>
      </c>
      <c r="H9" s="439">
        <f>IF(N8="","",VLOOKUP(N8,'素データ'!$Z$21:$AA$23,2,FALSE))</f>
      </c>
      <c r="I9" s="439">
        <f>IF(O8="","",VLOOKUP(O8,'素データ'!$Z$21:$AA$23,2,FALSE))</f>
      </c>
      <c r="J9" s="719" t="s">
        <v>6</v>
      </c>
      <c r="K9" s="720"/>
      <c r="L9" s="720"/>
      <c r="M9" s="720"/>
      <c r="N9" s="720"/>
      <c r="O9" s="721"/>
      <c r="P9" s="438" t="str">
        <f>IF(ISNA(VLOOKUP("BC1",'素データ'!$P:$R,3,FALSE)),"",VLOOKUP("BC1",'素データ'!$P:$R,3,FALSE))</f>
        <v>○</v>
      </c>
      <c r="Q9" s="439" t="str">
        <f>IF(ISNA(VLOOKUP("BC2",'素データ'!$P:$R,3,FALSE)),"",VLOOKUP("BC2",'素データ'!$P:$R,3,FALSE))</f>
        <v>○</v>
      </c>
      <c r="R9" s="439" t="str">
        <f>IF(ISNA(VLOOKUP("BC3",'素データ'!$P:$R,3,FALSE)),"",VLOOKUP("BC3",'素データ'!$P:$R,3,FALSE))</f>
        <v>○</v>
      </c>
      <c r="S9" s="439">
        <f>IF(ISNA(VLOOKUP("BC4",'素データ'!$P:$R,3,FALSE)),"",VLOOKUP("BC4",'素データ'!$P:$R,3,FALSE))</f>
      </c>
      <c r="T9" s="439">
        <f>IF(ISNA(VLOOKUP("BC5",'素データ'!$P:$R,3,FALSE)),"",VLOOKUP("BC5",'素データ'!$P:$R,3,FALSE))</f>
      </c>
      <c r="U9" s="439">
        <f>IF(ISNA(VLOOKUP("BC6",'素データ'!$P:$R,3,FALSE)),"",VLOOKUP("BC6",'素データ'!$P:$R,3,FALSE))</f>
      </c>
      <c r="V9" s="438" t="str">
        <f>IF(ISNA(VLOOKUP("BD1",'素データ'!$P:$R,3,FALSE)),"",VLOOKUP("BD1",'素データ'!$P:$R,3,FALSE))</f>
        <v>○</v>
      </c>
      <c r="W9" s="439" t="str">
        <f>IF(ISNA(VLOOKUP("BD2",'素データ'!$P:$R,3,FALSE)),"",VLOOKUP("BD2",'素データ'!$P:$R,3,FALSE))</f>
        <v>○</v>
      </c>
      <c r="X9" s="439" t="str">
        <f>IF(ISNA(VLOOKUP("BD3",'素データ'!$P:$R,3,FALSE)),"",VLOOKUP("BD3",'素データ'!$P:$R,3,FALSE))</f>
        <v>○</v>
      </c>
      <c r="Y9" s="439">
        <f>IF(ISNA(VLOOKUP("BD4",'素データ'!$P:$R,3,FALSE)),"",VLOOKUP("BD4",'素データ'!$P:$R,3,FALSE))</f>
      </c>
      <c r="Z9" s="439">
        <f>IF(ISNA(VLOOKUP("BD5",'素データ'!$P:$R,3,FALSE)),"",VLOOKUP("BD5",'素データ'!$P:$R,3,FALSE))</f>
      </c>
      <c r="AA9" s="439">
        <f>IF(ISNA(VLOOKUP("BD6",'素データ'!$P:$R,3,FALSE)),"",VLOOKUP("BD6",'素データ'!$P:$R,3,FALSE))</f>
      </c>
      <c r="AB9" s="438" t="str">
        <f>IF(ISNA(VLOOKUP("BE1",'素データ'!$P:$R,3,FALSE)),"",VLOOKUP("BE1",'素データ'!$P:$R,3,FALSE))</f>
        <v>○</v>
      </c>
      <c r="AC9" s="439" t="str">
        <f>IF(ISNA(VLOOKUP("BE2",'素データ'!$P:$R,3,FALSE)),"",VLOOKUP("BE2",'素データ'!$P:$R,3,FALSE))</f>
        <v>○</v>
      </c>
      <c r="AD9" s="439" t="str">
        <f>IF(ISNA(VLOOKUP("BE3",'素データ'!$P:$R,3,FALSE)),"",VLOOKUP("BE3",'素データ'!$P:$R,3,FALSE))</f>
        <v>○</v>
      </c>
      <c r="AE9" s="439">
        <f>IF(ISNA(VLOOKUP("BE4",'素データ'!$P:$R,3,FALSE)),"",VLOOKUP("BE4",'素データ'!$P:$R,3,FALSE))</f>
      </c>
      <c r="AF9" s="439">
        <f>IF(ISNA(VLOOKUP("BE5",'素データ'!$P:$R,3,FALSE)),"",VLOOKUP("BE5",'素データ'!$P:$R,3,FALSE))</f>
      </c>
      <c r="AG9" s="439">
        <f>IF(ISNA(VLOOKUP("BE6",'素データ'!$P:$R,3,FALSE)),"",VLOOKUP("BE6",'素データ'!$P:$R,3,FALSE))</f>
      </c>
      <c r="AH9" s="438" t="str">
        <f>IF(ISNA(VLOOKUP("BF1",'素データ'!$P:$R,3,FALSE)),"",VLOOKUP("BF1",'素データ'!$P:$R,3,FALSE))</f>
        <v>○</v>
      </c>
      <c r="AI9" s="527" t="str">
        <f>IF(ISNA(VLOOKUP("BF2",'素データ'!$P:$R,3,FALSE)),"",VLOOKUP("BF2",'素データ'!$P:$R,3,FALSE))</f>
        <v>○</v>
      </c>
      <c r="AJ9" s="439" t="str">
        <f>IF(ISNA(VLOOKUP("BF3",'素データ'!$P:$R,3,FALSE)),"",VLOOKUP("BF3",'素データ'!$P:$R,3,FALSE))</f>
        <v>○</v>
      </c>
      <c r="AK9" s="439">
        <f>IF(ISNA(VLOOKUP("BF4",'素データ'!$P:$R,3,FALSE)),"",VLOOKUP("BF4",'素データ'!$P:$R,3,FALSE))</f>
      </c>
      <c r="AL9" s="439">
        <f>IF(ISNA(VLOOKUP("BF5",'素データ'!$P:$R,3,FALSE)),"",VLOOKUP("BF5",'素データ'!$P:$R,3,FALSE))</f>
      </c>
      <c r="AM9" s="439">
        <f>IF(ISNA(VLOOKUP("BF6",'素データ'!$P:$R,3,FALSE)),"",VLOOKUP("BF6",'素データ'!$P:$R,3,FALSE))</f>
      </c>
      <c r="AN9" s="438" t="str">
        <f>IF(ISNA(VLOOKUP("BG1",'素データ'!$P:$R,3,FALSE)),"",VLOOKUP("BG1",'素データ'!$P:$R,3,FALSE))</f>
        <v>○</v>
      </c>
      <c r="AO9" s="439" t="str">
        <f>IF(ISNA(VLOOKUP("BG2",'素データ'!$P:$R,3,FALSE)),"",VLOOKUP("BG2",'素データ'!$P:$R,3,FALSE))</f>
        <v>○</v>
      </c>
      <c r="AP9" s="439" t="str">
        <f>IF(ISNA(VLOOKUP("BG3",'素データ'!$P:$R,3,FALSE)),"",VLOOKUP("BG3",'素データ'!$P:$R,3,FALSE))</f>
        <v>○</v>
      </c>
      <c r="AQ9" s="439">
        <f>IF(ISNA(VLOOKUP("BG4",'素データ'!$P:$R,3,FALSE)),"",VLOOKUP("BG4",'素データ'!$P:$R,3,FALSE))</f>
      </c>
      <c r="AR9" s="439">
        <f>IF(ISNA(VLOOKUP("BG5",'素データ'!$P:$R,3,FALSE)),"",VLOOKUP("BG5",'素データ'!$P:$R,3,FALSE))</f>
      </c>
      <c r="AS9" s="439">
        <f>IF(ISNA(VLOOKUP("BG6",'素データ'!$P:$R,3,FALSE)),"",VLOOKUP("BG6",'素データ'!$P:$R,3,FALSE))</f>
      </c>
      <c r="AT9" s="440">
        <f>IF(ISNA(VLOOKUP("BH1",'素データ'!$P:$R,3,FALSE)),"",VLOOKUP("BH1",'素データ'!$P:$R,3,FALSE))</f>
      </c>
      <c r="AU9" s="441">
        <f>IF(ISNA(VLOOKUP("BH2",'素データ'!$P:$R,3,FALSE)),"",VLOOKUP("BH2",'素データ'!$P:$R,3,FALSE))</f>
      </c>
      <c r="AV9" s="441">
        <f>IF(ISNA(VLOOKUP("BH3",'素データ'!$P:$R,3,FALSE)),"",VLOOKUP("BH3",'素データ'!$P:$R,3,FALSE))</f>
      </c>
      <c r="AW9" s="441">
        <f>IF(ISNA(VLOOKUP("BH4",'素データ'!$P:$R,3,FALSE)),"",VLOOKUP("BH4",'素データ'!$P:$R,3,FALSE))</f>
      </c>
      <c r="AX9" s="441">
        <f>IF(ISNA(VLOOKUP("BH5",'素データ'!$P:$R,3,FALSE)),"",VLOOKUP("BH5",'素データ'!$P:$R,3,FALSE))</f>
      </c>
      <c r="AY9" s="441">
        <f>IF(ISNA(VLOOKUP("BH6",'素データ'!$P:$R,3,FALSE)),"",VLOOKUP("BH6",'素データ'!$P:$R,3,FALSE))</f>
      </c>
      <c r="AZ9" s="442">
        <f t="shared" si="0"/>
        <v>18</v>
      </c>
      <c r="BA9" s="443">
        <f t="shared" si="1"/>
        <v>16</v>
      </c>
      <c r="BB9" s="442">
        <f t="shared" si="2"/>
        <v>2</v>
      </c>
      <c r="BC9" s="443">
        <f t="shared" si="3"/>
        <v>0</v>
      </c>
      <c r="BD9" s="444">
        <f t="shared" si="4"/>
        <v>0.8888888888888888</v>
      </c>
      <c r="BE9" s="490">
        <f t="shared" si="5"/>
        <v>1</v>
      </c>
      <c r="BG9" s="11" t="str">
        <f>IF(BA9=((DCOUNTA('素データ'!$F$5:$L$69,"試合結果",criteria!B13:H14))+(DCOUNTA('素データ'!$F$5:$L$69,"試合結果",criteria!B15:H16))),"OK","NG")</f>
        <v>OK</v>
      </c>
      <c r="BH9" s="12" t="str">
        <f>IF(BB9=((DCOUNTA('素データ'!$F$5:$L$69,"試合結果",criteria!B17:H18))+(DCOUNTA('素データ'!$F$5:$L$69,"試合結果",criteria!B19:H20))),"OK","NG")</f>
        <v>OK</v>
      </c>
      <c r="BI9" s="13" t="str">
        <f>IF(BC9=((DCOUNTA('素データ'!$F$5:$L$69,"試合結果",criteria!B21:H22))+(DCOUNTA('素データ'!$F$5:$L$69,"試合結果",criteria!B23:H24))),"OK","NG")</f>
        <v>OK</v>
      </c>
    </row>
    <row r="10" spans="2:61" ht="30" customHeight="1">
      <c r="B10" s="447" t="str">
        <f>'素データ'!Y9</f>
        <v>C</v>
      </c>
      <c r="C10" s="448" t="str">
        <f>VLOOKUP(B10,'素データ'!Y7:Z14,2,FALSE)</f>
        <v>ファイターズＢ</v>
      </c>
      <c r="D10" s="429" t="str">
        <f>IF($P$8="","",VLOOKUP($P$8,'素データ'!$Z$21:$AA$23,2,FALSE))</f>
        <v>●</v>
      </c>
      <c r="E10" s="430" t="str">
        <f>IF($Q$8="","",VLOOKUP($Q$8,'素データ'!$Z$21:$AA$23,2,FALSE))</f>
        <v>○</v>
      </c>
      <c r="F10" s="430" t="str">
        <f>IF($R$8="","",VLOOKUP($R$8,'素データ'!$Z$21:$AA$23,2,FALSE))</f>
        <v>○</v>
      </c>
      <c r="G10" s="430">
        <f>IF($S$8="","",VLOOKUP($S$8,'素データ'!$Z$21:$AA$23,2,FALSE))</f>
      </c>
      <c r="H10" s="430">
        <f>IF($T$8="","",VLOOKUP($T$8,'素データ'!$Z$21:$AA$23,2,FALSE))</f>
      </c>
      <c r="I10" s="430">
        <f>IF($U$8="","",VLOOKUP($U$8,'素データ'!$Z$21:$AA$23,2,FALSE))</f>
      </c>
      <c r="J10" s="429" t="str">
        <f>IF($P$9="","",VLOOKUP($P$9,'素データ'!$Z$21:$AA$23,2,FALSE))</f>
        <v>●</v>
      </c>
      <c r="K10" s="430" t="str">
        <f>IF($Q$9="","",VLOOKUP($Q$9,'素データ'!$Z$21:$AA$23,2,FALSE))</f>
        <v>●</v>
      </c>
      <c r="L10" s="430" t="str">
        <f>IF($R$9="","",VLOOKUP($R$9,'素データ'!$Z$21:$AA$23,2,FALSE))</f>
        <v>●</v>
      </c>
      <c r="M10" s="430">
        <f>IF($S$9="","",VLOOKUP($S$9,'素データ'!$Z$21:$AA$23,2,FALSE))</f>
      </c>
      <c r="N10" s="430">
        <f>IF($T$9="","",VLOOKUP($T$9,'素データ'!$Z$21:$AA$23,2,FALSE))</f>
      </c>
      <c r="O10" s="430">
        <f>IF($U$9="","",VLOOKUP($U$9,'素データ'!$Z$21:$AA$23,2,FALSE))</f>
      </c>
      <c r="P10" s="707" t="s">
        <v>6</v>
      </c>
      <c r="Q10" s="708"/>
      <c r="R10" s="708"/>
      <c r="S10" s="708"/>
      <c r="T10" s="708"/>
      <c r="U10" s="709"/>
      <c r="V10" s="429" t="str">
        <f>IF(ISNA(VLOOKUP("CD1",'素データ'!$P:$R,3,FALSE)),"",VLOOKUP("CD1",'素データ'!$P:$R,3,FALSE))</f>
        <v>●</v>
      </c>
      <c r="W10" s="430" t="str">
        <f>IF(ISNA(VLOOKUP("CD2",'素データ'!$P:$R,3,FALSE)),"",VLOOKUP("CD2",'素データ'!$P:$R,3,FALSE))</f>
        <v>○</v>
      </c>
      <c r="X10" s="430" t="str">
        <f>IF(ISNA(VLOOKUP("CD3",'素データ'!$P:$R,3,FALSE)),"",VLOOKUP("CD3",'素データ'!$P:$R,3,FALSE))</f>
        <v>○</v>
      </c>
      <c r="Y10" s="430">
        <f>IF(ISNA(VLOOKUP("CD4",'素データ'!$P:$R,3,FALSE)),"",VLOOKUP("CD4",'素データ'!$P:$R,3,FALSE))</f>
      </c>
      <c r="Z10" s="430">
        <f>IF(ISNA(VLOOKUP("CD5",'素データ'!$P:$R,3,FALSE)),"",VLOOKUP("CD5",'素データ'!$P:$R,3,FALSE))</f>
      </c>
      <c r="AA10" s="430">
        <f>IF(ISNA(VLOOKUP("CD6",'素データ'!$P:$R,3,FALSE)),"",VLOOKUP("CD6",'素データ'!$P:$R,3,FALSE))</f>
      </c>
      <c r="AB10" s="429" t="str">
        <f>IF(ISNA(VLOOKUP("CE1",'素データ'!$P:$R,3,FALSE)),"",VLOOKUP("CE1",'素データ'!$P:$R,3,FALSE))</f>
        <v>○</v>
      </c>
      <c r="AC10" s="430" t="str">
        <f>IF(ISNA(VLOOKUP("CE2",'素データ'!$P:$R,3,FALSE)),"",VLOOKUP("CE2",'素データ'!$P:$R,3,FALSE))</f>
        <v>●</v>
      </c>
      <c r="AD10" s="430" t="str">
        <f>IF(ISNA(VLOOKUP("CE3",'素データ'!$P:$R,3,FALSE)),"",VLOOKUP("CE3",'素データ'!$P:$R,3,FALSE))</f>
        <v>○</v>
      </c>
      <c r="AE10" s="430">
        <f>IF(ISNA(VLOOKUP("CE4",'素データ'!$P:$R,3,FALSE)),"",VLOOKUP("CE4",'素データ'!$P:$R,3,FALSE))</f>
      </c>
      <c r="AF10" s="430">
        <f>IF(ISNA(VLOOKUP("CE5",'素データ'!$P:$R,3,FALSE)),"",VLOOKUP("CE5",'素データ'!$P:$R,3,FALSE))</f>
      </c>
      <c r="AG10" s="430">
        <f>IF(ISNA(VLOOKUP("CE6",'素データ'!$P:$R,3,FALSE)),"",VLOOKUP("CE6",'素データ'!$P:$R,3,FALSE))</f>
      </c>
      <c r="AH10" s="429" t="str">
        <f>IF(ISNA(VLOOKUP("CF1",'素データ'!$P:$R,3,FALSE)),"",VLOOKUP("CF1",'素データ'!$P:$R,3,FALSE))</f>
        <v>○</v>
      </c>
      <c r="AI10" s="528" t="str">
        <f>IF(ISNA(VLOOKUP("CF2",'素データ'!$P:$R,3,FALSE)),"",VLOOKUP("CF2",'素データ'!$P:$R,3,FALSE))</f>
        <v>○</v>
      </c>
      <c r="AJ10" s="430" t="str">
        <f>IF(ISNA(VLOOKUP("CF3",'素データ'!$P:$R,3,FALSE)),"",VLOOKUP("CF3",'素データ'!$P:$R,3,FALSE))</f>
        <v>○</v>
      </c>
      <c r="AK10" s="430">
        <f>IF(ISNA(VLOOKUP("CF4",'素データ'!$P:$R,3,FALSE)),"",VLOOKUP("CF4",'素データ'!$P:$R,3,FALSE))</f>
      </c>
      <c r="AL10" s="430">
        <f>IF(ISNA(VLOOKUP("CF5",'素データ'!$P:$R,3,FALSE)),"",VLOOKUP("CF5",'素データ'!$P:$R,3,FALSE))</f>
      </c>
      <c r="AM10" s="430">
        <f>IF(ISNA(VLOOKUP("CF6",'素データ'!$P:$R,3,FALSE)),"",VLOOKUP("CF6",'素データ'!$P:$R,3,FALSE))</f>
      </c>
      <c r="AN10" s="429" t="str">
        <f>IF(ISNA(VLOOKUP("CG1",'素データ'!$P:$R,3,FALSE)),"",VLOOKUP("CG1",'素データ'!$P:$R,3,FALSE))</f>
        <v>○</v>
      </c>
      <c r="AO10" s="430" t="str">
        <f>IF(ISNA(VLOOKUP("CG2",'素データ'!$P:$R,3,FALSE)),"",VLOOKUP("CG2",'素データ'!$P:$R,3,FALSE))</f>
        <v>○</v>
      </c>
      <c r="AP10" s="430" t="str">
        <f>IF(ISNA(VLOOKUP("CG3",'素データ'!$P:$R,3,FALSE)),"",VLOOKUP("CG3",'素データ'!$P:$R,3,FALSE))</f>
        <v>○</v>
      </c>
      <c r="AQ10" s="430">
        <f>IF(ISNA(VLOOKUP("CG4",'素データ'!$P:$R,3,FALSE)),"",VLOOKUP("CG4",'素データ'!$P:$R,3,FALSE))</f>
      </c>
      <c r="AR10" s="430">
        <f>IF(ISNA(VLOOKUP("CG5",'素データ'!$P:$R,3,FALSE)),"",VLOOKUP("CG5",'素データ'!$P:$R,3,FALSE))</f>
      </c>
      <c r="AS10" s="430">
        <f>IF(ISNA(VLOOKUP("CG6",'素データ'!$P:$R,3,FALSE)),"",VLOOKUP("CG6",'素データ'!$P:$R,3,FALSE))</f>
      </c>
      <c r="AT10" s="431">
        <f>IF(ISNA(VLOOKUP("CH1",'素データ'!$P:$R,3,FALSE)),"",VLOOKUP("CH1",'素データ'!$P:$R,3,FALSE))</f>
      </c>
      <c r="AU10" s="432">
        <f>IF(ISNA(VLOOKUP("CH2",'素データ'!$P:$R,3,FALSE)),"",VLOOKUP("CH2",'素データ'!$P:$R,3,FALSE))</f>
      </c>
      <c r="AV10" s="432">
        <f>IF(ISNA(VLOOKUP("CH3",'素データ'!$P:$R,3,FALSE)),"",VLOOKUP("CH3",'素データ'!$P:$R,3,FALSE))</f>
      </c>
      <c r="AW10" s="432">
        <f>IF(ISNA(VLOOKUP("CH4",'素データ'!$P:$R,3,FALSE)),"",VLOOKUP("CH4",'素データ'!$P:$R,3,FALSE))</f>
      </c>
      <c r="AX10" s="432">
        <f>IF(ISNA(VLOOKUP("CH5",'素データ'!$P:$R,3,FALSE)),"",VLOOKUP("CH5",'素データ'!$P:$R,3,FALSE))</f>
      </c>
      <c r="AY10" s="432">
        <f>IF(ISNA(VLOOKUP("CH6",'素データ'!$P:$R,3,FALSE)),"",VLOOKUP("CH6",'素データ'!$P:$R,3,FALSE))</f>
      </c>
      <c r="AZ10" s="433">
        <f t="shared" si="0"/>
        <v>18</v>
      </c>
      <c r="BA10" s="434">
        <f t="shared" si="1"/>
        <v>12</v>
      </c>
      <c r="BB10" s="433">
        <f t="shared" si="2"/>
        <v>6</v>
      </c>
      <c r="BC10" s="434">
        <f t="shared" si="3"/>
        <v>0</v>
      </c>
      <c r="BD10" s="435">
        <f t="shared" si="4"/>
        <v>0.6666666666666666</v>
      </c>
      <c r="BE10" s="491">
        <f t="shared" si="5"/>
        <v>3</v>
      </c>
      <c r="BG10" s="11" t="str">
        <f>IF(BA10=((DCOUNTA('素データ'!$F$5:$L$69,"試合結果",criteria!B25:H26))+(DCOUNTA('素データ'!$F$5:$L$69,"試合結果",criteria!B27:H28))),"OK","NG")</f>
        <v>OK</v>
      </c>
      <c r="BH10" s="12" t="str">
        <f>IF(BB10=((DCOUNTA('素データ'!$F$5:$L$69,"試合結果",criteria!B29:H30))+(DCOUNTA('素データ'!$F$5:$L$69,"試合結果",criteria!B31:H32))),"OK","NG")</f>
        <v>OK</v>
      </c>
      <c r="BI10" s="13" t="str">
        <f>IF(BC10=((DCOUNTA('素データ'!$F$5:$L$69,"試合結果",criteria!B33:H34))+(DCOUNTA('素データ'!$F$5:$L$69,"試合結果",criteria!B35:H36))),"OK","NG")</f>
        <v>OK</v>
      </c>
    </row>
    <row r="11" spans="2:61" ht="30" customHeight="1">
      <c r="B11" s="447" t="str">
        <f>'素データ'!Y10</f>
        <v>D</v>
      </c>
      <c r="C11" s="448" t="str">
        <f>VLOOKUP(B11,'素データ'!Y7:Z14,2,FALSE)</f>
        <v>クッパーズＪｒ</v>
      </c>
      <c r="D11" s="429" t="str">
        <f>IF($V$8="","",VLOOKUP($V$8,'素データ'!$Z$21:$AA$23,2,FALSE))</f>
        <v>△</v>
      </c>
      <c r="E11" s="430" t="str">
        <f>IF($W$8="","",VLOOKUP($W$8,'素データ'!$Z$21:$AA$23,2,FALSE))</f>
        <v>●</v>
      </c>
      <c r="F11" s="430" t="str">
        <f>IF($X$8="","",VLOOKUP($X$8,'素データ'!$Z$21:$AA$23,2,FALSE))</f>
        <v>●</v>
      </c>
      <c r="G11" s="430">
        <f>IF($Y$8="","",VLOOKUP($Y$8,'素データ'!$Z$21:$AA$23,2,FALSE))</f>
      </c>
      <c r="H11" s="430">
        <f>IF($Z$8="","",VLOOKUP($Z$8,'素データ'!$Z$21:$AA$23,2,FALSE))</f>
      </c>
      <c r="I11" s="430">
        <f>IF($AA$8="","",VLOOKUP($AA$8,'素データ'!$Z$21:$AA$23,2,FALSE))</f>
      </c>
      <c r="J11" s="429" t="str">
        <f>IF($V$9="","",VLOOKUP($V$9,'素データ'!$Z$21:$AA$23,2,FALSE))</f>
        <v>●</v>
      </c>
      <c r="K11" s="430" t="str">
        <f>IF($W$9="","",VLOOKUP($W$9,'素データ'!$Z$21:$AA$23,2,FALSE))</f>
        <v>●</v>
      </c>
      <c r="L11" s="430" t="str">
        <f>IF($X$9="","",VLOOKUP($X$9,'素データ'!$Z$21:$AA$23,2,FALSE))</f>
        <v>●</v>
      </c>
      <c r="M11" s="430">
        <f>IF($Y$9="","",VLOOKUP($Y$9,'素データ'!$Z$21:$AA$23,2,FALSE))</f>
      </c>
      <c r="N11" s="430">
        <f>IF($Z$9="","",VLOOKUP($Z$9,'素データ'!$Z$21:$AA$23,2,FALSE))</f>
      </c>
      <c r="O11" s="430">
        <f>IF($AA$9="","",VLOOKUP($AA$9,'素データ'!$Z$21:$AA$23,2,FALSE))</f>
      </c>
      <c r="P11" s="429" t="str">
        <f>IF($V$10="","",VLOOKUP($V$10,'素データ'!$Z$21:$AA$23,2,FALSE))</f>
        <v>○</v>
      </c>
      <c r="Q11" s="430" t="str">
        <f>IF($W$10="","",VLOOKUP($W$10,'素データ'!$Z$21:$AA$23,2,FALSE))</f>
        <v>●</v>
      </c>
      <c r="R11" s="430" t="str">
        <f>IF($X$10="","",VLOOKUP($X$10,'素データ'!$Z$21:$AA$23,2,FALSE))</f>
        <v>●</v>
      </c>
      <c r="S11" s="430">
        <f>IF($Y$10="","",VLOOKUP($Y$10,'素データ'!$Z$21:$AA$23,2,FALSE))</f>
      </c>
      <c r="T11" s="430">
        <f>IF($Z$10="","",VLOOKUP($Z$10,'素データ'!$Z$21:$AA$23,2,FALSE))</f>
      </c>
      <c r="U11" s="430">
        <f>IF($AA$10="","",VLOOKUP($AA$10,'素データ'!$Z$21:$AA$23,2,FALSE))</f>
      </c>
      <c r="V11" s="707" t="s">
        <v>6</v>
      </c>
      <c r="W11" s="708"/>
      <c r="X11" s="708"/>
      <c r="Y11" s="708"/>
      <c r="Z11" s="708"/>
      <c r="AA11" s="709"/>
      <c r="AB11" s="429" t="str">
        <f>IF(ISNA(VLOOKUP("DE1",'素データ'!$P:$R,3,FALSE)),"",VLOOKUP("DE1",'素データ'!$P:$R,3,FALSE))</f>
        <v>○</v>
      </c>
      <c r="AC11" s="430" t="str">
        <f>IF(ISNA(VLOOKUP("DE2",'素データ'!$P:$R,3,FALSE)),"",VLOOKUP("DE2",'素データ'!$P:$R,3,FALSE))</f>
        <v>●</v>
      </c>
      <c r="AD11" s="430" t="str">
        <f>IF(ISNA(VLOOKUP("DE3",'素データ'!$P:$R,3,FALSE)),"",VLOOKUP("DE3",'素データ'!$P:$R,3,FALSE))</f>
        <v>△</v>
      </c>
      <c r="AE11" s="430">
        <f>IF(ISNA(VLOOKUP("DE4",'素データ'!$P:$R,3,FALSE)),"",VLOOKUP("DE4",'素データ'!$P:$R,3,FALSE))</f>
      </c>
      <c r="AF11" s="430">
        <f>IF(ISNA(VLOOKUP("DE5",'素データ'!$P:$R,3,FALSE)),"",VLOOKUP("DE5",'素データ'!$P:$R,3,FALSE))</f>
      </c>
      <c r="AG11" s="430">
        <f>IF(ISNA(VLOOKUP("DE6",'素データ'!$P:$R,3,FALSE)),"",VLOOKUP("DE6",'素データ'!$P:$R,3,FALSE))</f>
      </c>
      <c r="AH11" s="429" t="str">
        <f>IF(ISNA(VLOOKUP("DF1",'素データ'!$P:$R,3,FALSE)),"",VLOOKUP("DF1",'素データ'!$P:$R,3,FALSE))</f>
        <v>○</v>
      </c>
      <c r="AI11" s="528" t="str">
        <f>IF(ISNA(VLOOKUP("DF2",'素データ'!$P:$R,3,FALSE)),"",VLOOKUP("DF2",'素データ'!$P:$R,3,FALSE))</f>
        <v>○</v>
      </c>
      <c r="AJ11" s="430" t="str">
        <f>IF(ISNA(VLOOKUP("DF3",'素データ'!$P:$R,3,FALSE)),"",VLOOKUP("DF3",'素データ'!$P:$R,3,FALSE))</f>
        <v>○</v>
      </c>
      <c r="AK11" s="430">
        <f>IF(ISNA(VLOOKUP("DF4",'素データ'!$P:$R,3,FALSE)),"",VLOOKUP("DF4",'素データ'!$P:$R,3,FALSE))</f>
      </c>
      <c r="AL11" s="430">
        <f>IF(ISNA(VLOOKUP("DF5",'素データ'!$P:$R,3,FALSE)),"",VLOOKUP("DF5",'素データ'!$P:$R,3,FALSE))</f>
      </c>
      <c r="AM11" s="430">
        <f>IF(ISNA(VLOOKUP("DF6",'素データ'!$P:$R,3,FALSE)),"",VLOOKUP("DF6",'素データ'!$P:$R,3,FALSE))</f>
      </c>
      <c r="AN11" s="429" t="str">
        <f>IF(ISNA(VLOOKUP("DG1",'素データ'!$P:$R,3,FALSE)),"",VLOOKUP("DG1",'素データ'!$P:$R,3,FALSE))</f>
        <v>○</v>
      </c>
      <c r="AO11" s="430" t="str">
        <f>IF(ISNA(VLOOKUP("DG2",'素データ'!$P:$R,3,FALSE)),"",VLOOKUP("DG2",'素データ'!$P:$R,3,FALSE))</f>
        <v>○</v>
      </c>
      <c r="AP11" s="430" t="str">
        <f>IF(ISNA(VLOOKUP("DG3",'素データ'!$P:$R,3,FALSE)),"",VLOOKUP("DG3",'素データ'!$P:$R,3,FALSE))</f>
        <v>○</v>
      </c>
      <c r="AQ11" s="430">
        <f>IF(ISNA(VLOOKUP("DG4",'素データ'!$P:$R,3,FALSE)),"",VLOOKUP("DG4",'素データ'!$P:$R,3,FALSE))</f>
      </c>
      <c r="AR11" s="430">
        <f>IF(ISNA(VLOOKUP("DG5",'素データ'!$P:$R,3,FALSE)),"",VLOOKUP("DG5",'素データ'!$P:$R,3,FALSE))</f>
      </c>
      <c r="AS11" s="430">
        <f>IF(ISNA(VLOOKUP("DG6",'素データ'!$P:$R,3,FALSE)),"",VLOOKUP("DG6",'素データ'!$P:$R,3,FALSE))</f>
      </c>
      <c r="AT11" s="431">
        <f>IF(ISNA(VLOOKUP("DH1",'素データ'!$P:$R,3,FALSE)),"",VLOOKUP("DH1",'素データ'!$P:$R,3,FALSE))</f>
      </c>
      <c r="AU11" s="432">
        <f>IF(ISNA(VLOOKUP("DH2",'素データ'!$P:$R,3,FALSE)),"",VLOOKUP("DH2",'素データ'!$P:$R,3,FALSE))</f>
      </c>
      <c r="AV11" s="432">
        <f>IF(ISNA(VLOOKUP("DH3",'素データ'!$P:$R,3,FALSE)),"",VLOOKUP("DH3",'素データ'!$P:$R,3,FALSE))</f>
      </c>
      <c r="AW11" s="432">
        <f>IF(ISNA(VLOOKUP("DH4",'素データ'!$P:$R,3,FALSE)),"",VLOOKUP("DH4",'素データ'!$P:$R,3,FALSE))</f>
      </c>
      <c r="AX11" s="432">
        <f>IF(ISNA(VLOOKUP("DH5",'素データ'!$P:$R,3,FALSE)),"",VLOOKUP("DH5",'素データ'!$P:$R,3,FALSE))</f>
      </c>
      <c r="AY11" s="432">
        <f>IF(ISNA(VLOOKUP("DH6",'素データ'!$P:$R,3,FALSE)),"",VLOOKUP("DH6",'素データ'!$P:$R,3,FALSE))</f>
      </c>
      <c r="AZ11" s="433">
        <f t="shared" si="0"/>
        <v>18</v>
      </c>
      <c r="BA11" s="434">
        <f t="shared" si="1"/>
        <v>8</v>
      </c>
      <c r="BB11" s="433">
        <f t="shared" si="2"/>
        <v>8</v>
      </c>
      <c r="BC11" s="434">
        <f t="shared" si="3"/>
        <v>2</v>
      </c>
      <c r="BD11" s="435">
        <f t="shared" si="4"/>
        <v>0.5</v>
      </c>
      <c r="BE11" s="491">
        <f t="shared" si="5"/>
        <v>4</v>
      </c>
      <c r="BG11" s="11" t="str">
        <f>IF(BA11=((DCOUNTA('素データ'!$F$5:$L$69,"試合結果",criteria!B37:H38))+(DCOUNTA('素データ'!$F$5:$L$69,"試合結果",criteria!B39:H40))),"OK","NG")</f>
        <v>OK</v>
      </c>
      <c r="BH11" s="12" t="str">
        <f>IF(BB11=((DCOUNTA('素データ'!$F$5:$L$69,"試合結果",criteria!B41:H42))+(DCOUNTA('素データ'!$F$5:$L$69,"試合結果",criteria!B43:H44))),"OK","NG")</f>
        <v>OK</v>
      </c>
      <c r="BI11" s="13" t="str">
        <f>IF(BC11=((DCOUNTA('素データ'!$F$5:$L$69,"試合結果",criteria!B45:H46))+(DCOUNTA('素データ'!$F$5:$L$69,"試合結果",criteria!B47:H48))),"OK","NG")</f>
        <v>OK</v>
      </c>
    </row>
    <row r="12" spans="2:61" ht="30" customHeight="1">
      <c r="B12" s="447" t="str">
        <f>'素データ'!Y11</f>
        <v>E</v>
      </c>
      <c r="C12" s="448" t="str">
        <f>VLOOKUP(B12,'素データ'!Y7:Z14,2,FALSE)</f>
        <v>パイレーツ</v>
      </c>
      <c r="D12" s="429" t="str">
        <f>IF($AB$8="","",VLOOKUP($AB$8,'素データ'!$Z$21:$AA$23,2,FALSE))</f>
        <v>●</v>
      </c>
      <c r="E12" s="430" t="str">
        <f>IF($AC$8="","",VLOOKUP($AC$8,'素データ'!$Z$21:$AA$23,2,FALSE))</f>
        <v>●</v>
      </c>
      <c r="F12" s="430" t="str">
        <f>IF($AD$8="","",VLOOKUP($AD$8,'素データ'!$Z$21:$AA$23,2,FALSE))</f>
        <v>●</v>
      </c>
      <c r="G12" s="430">
        <f>IF($AE$8="","",VLOOKUP($AE$8,'素データ'!$Z$21:$AA$23,2,FALSE))</f>
      </c>
      <c r="H12" s="430">
        <f>IF($AF$8="","",VLOOKUP($AF$8,'素データ'!$Z$21:$AA$23,2,FALSE))</f>
      </c>
      <c r="I12" s="430">
        <f>IF($AG$8="","",VLOOKUP($AG$8,'素データ'!$Z$21:$AA$23,2,FALSE))</f>
      </c>
      <c r="J12" s="429" t="str">
        <f>IF($AB$9="","",VLOOKUP($AB$9,'素データ'!$Z$21:$AA$23,2,FALSE))</f>
        <v>●</v>
      </c>
      <c r="K12" s="430" t="str">
        <f>IF($AC$9="","",VLOOKUP($AC$9,'素データ'!$Z$21:$AA$23,2,FALSE))</f>
        <v>●</v>
      </c>
      <c r="L12" s="430" t="str">
        <f>IF($AD$9="","",VLOOKUP($AD$9,'素データ'!$Z$21:$AA$23,2,FALSE))</f>
        <v>●</v>
      </c>
      <c r="M12" s="430">
        <f>IF($AE$9="","",VLOOKUP($AE$9,'素データ'!$Z$21:$AA$23,2,FALSE))</f>
      </c>
      <c r="N12" s="430">
        <f>IF($AF$9="","",VLOOKUP($AF$9,'素データ'!$Z$21:$AA$23,2,FALSE))</f>
      </c>
      <c r="O12" s="430">
        <f>IF($AG$9="","",VLOOKUP($AG$9,'素データ'!$Z$21:$AA$23,2,FALSE))</f>
      </c>
      <c r="P12" s="429" t="str">
        <f>IF($AB$10="","",VLOOKUP($AB$10,'素データ'!$Z$21:$AA$23,2,FALSE))</f>
        <v>●</v>
      </c>
      <c r="Q12" s="430" t="str">
        <f>IF($AC$10="","",VLOOKUP($AC$10,'素データ'!$Z$21:$AA$23,2,FALSE))</f>
        <v>○</v>
      </c>
      <c r="R12" s="430" t="str">
        <f>IF($AD$10="","",VLOOKUP($AD$10,'素データ'!$Z$21:$AA$23,2,FALSE))</f>
        <v>●</v>
      </c>
      <c r="S12" s="430">
        <f>IF($AE$10="","",VLOOKUP($AE$10,'素データ'!$Z$21:$AA$23,2,FALSE))</f>
      </c>
      <c r="T12" s="430">
        <f>IF($AF$10="","",VLOOKUP($AF$10,'素データ'!$Z$21:$AA$23,2,FALSE))</f>
      </c>
      <c r="U12" s="430">
        <f>IF($AG$10="","",VLOOKUP($AG$10,'素データ'!$Z$21:$AA$23,2,FALSE))</f>
      </c>
      <c r="V12" s="429" t="str">
        <f>IF($AB$11="","",VLOOKUP($AB$11,'素データ'!$Z$21:$AA$23,2,FALSE))</f>
        <v>●</v>
      </c>
      <c r="W12" s="430" t="str">
        <f>IF($AC$11="","",VLOOKUP($AC$11,'素データ'!$Z$21:$AA$23,2,FALSE))</f>
        <v>○</v>
      </c>
      <c r="X12" s="430" t="str">
        <f>IF($AD$11="","",VLOOKUP($AD$11,'素データ'!$Z$21:$AA$23,2,FALSE))</f>
        <v>△</v>
      </c>
      <c r="Y12" s="430">
        <f>IF($AE$11="","",VLOOKUP($AE$11,'素データ'!$Z$21:$AA$23,2,FALSE))</f>
      </c>
      <c r="Z12" s="430">
        <f>IF($AF$11="","",VLOOKUP($AF$11,'素データ'!$Z$21:$AA$23,2,FALSE))</f>
      </c>
      <c r="AA12" s="430">
        <f>IF($AG$11="","",VLOOKUP($AG$11,'素データ'!$Z$21:$AA$23,2,FALSE))</f>
      </c>
      <c r="AB12" s="707" t="s">
        <v>6</v>
      </c>
      <c r="AC12" s="708"/>
      <c r="AD12" s="708"/>
      <c r="AE12" s="708"/>
      <c r="AF12" s="708"/>
      <c r="AG12" s="708"/>
      <c r="AH12" s="429" t="str">
        <f>IF(ISNA(VLOOKUP("EF1",'素データ'!$P:$R,3,FALSE)),"",VLOOKUP("EF1",'素データ'!$P:$R,3,FALSE))</f>
        <v>○</v>
      </c>
      <c r="AI12" s="430" t="str">
        <f>IF(ISNA(VLOOKUP("EF2",'素データ'!$P:$R,3,FALSE)),"",VLOOKUP("EF2",'素データ'!$P:$R,3,FALSE))</f>
        <v>○</v>
      </c>
      <c r="AJ12" s="430" t="str">
        <f>IF(ISNA(VLOOKUP("EF3",'素データ'!$P:$R,3,FALSE)),"",VLOOKUP("EF3",'素データ'!$P:$R,3,FALSE))</f>
        <v>○</v>
      </c>
      <c r="AK12" s="430">
        <f>IF(ISNA(VLOOKUP("EF4",'素データ'!$P:$R,3,FALSE)),"",VLOOKUP("EF4",'素データ'!$P:$R,3,FALSE))</f>
      </c>
      <c r="AL12" s="430">
        <f>IF(ISNA(VLOOKUP("EF5",'素データ'!$P:$R,3,FALSE)),"",VLOOKUP("EF5",'素データ'!$P:$R,3,FALSE))</f>
      </c>
      <c r="AM12" s="430">
        <f>IF(ISNA(VLOOKUP("EF6",'素データ'!$P:$R,3,FALSE)),"",VLOOKUP("EF6",'素データ'!$P:$R,3,FALSE))</f>
      </c>
      <c r="AN12" s="429" t="str">
        <f>IF(ISNA(VLOOKUP("EG1",'素データ'!$P:$R,3,FALSE)),"",VLOOKUP("EG1",'素データ'!$P:$R,3,FALSE))</f>
        <v>○</v>
      </c>
      <c r="AO12" s="430" t="str">
        <f>IF(ISNA(VLOOKUP("EG2",'素データ'!$P:$R,3,FALSE)),"",VLOOKUP("EG2",'素データ'!$P:$R,3,FALSE))</f>
        <v>○</v>
      </c>
      <c r="AP12" s="430" t="str">
        <f>IF(ISNA(VLOOKUP("EG3",'素データ'!$P:$R,3,FALSE)),"",VLOOKUP("EG3",'素データ'!$P:$R,3,FALSE))</f>
        <v>○</v>
      </c>
      <c r="AQ12" s="430">
        <f>IF(ISNA(VLOOKUP("EG4",'素データ'!$P:$R,3,FALSE)),"",VLOOKUP("EG4",'素データ'!$P:$R,3,FALSE))</f>
      </c>
      <c r="AR12" s="430">
        <f>IF(ISNA(VLOOKUP("EG5",'素データ'!$P:$R,3,FALSE)),"",VLOOKUP("EG5",'素データ'!$P:$R,3,FALSE))</f>
      </c>
      <c r="AS12" s="430">
        <f>IF(ISNA(VLOOKUP("EG6",'素データ'!$P:$R,3,FALSE)),"",VLOOKUP("EG6",'素データ'!$P:$R,3,FALSE))</f>
      </c>
      <c r="AT12" s="431">
        <f>IF(ISNA(VLOOKUP("EH1",'素データ'!$P:$R,3,FALSE)),"",VLOOKUP("EH1",'素データ'!$P:$R,3,FALSE))</f>
      </c>
      <c r="AU12" s="432">
        <f>IF(ISNA(VLOOKUP("EH2",'素データ'!$P:$R,3,FALSE)),"",VLOOKUP("EH2",'素データ'!$P:$R,3,FALSE))</f>
      </c>
      <c r="AV12" s="432">
        <f>IF(ISNA(VLOOKUP("EH3",'素データ'!$P:$R,3,FALSE)),"",VLOOKUP("EH3",'素データ'!$P:$R,3,FALSE))</f>
      </c>
      <c r="AW12" s="432">
        <f>IF(ISNA(VLOOKUP("EH4",'素データ'!$P:$R,3,FALSE)),"",VLOOKUP("EH4",'素データ'!$P:$R,3,FALSE))</f>
      </c>
      <c r="AX12" s="432">
        <f>IF(ISNA(VLOOKUP("EH5",'素データ'!$P:$R,3,FALSE)),"",VLOOKUP("EH5",'素データ'!$P:$R,3,FALSE))</f>
      </c>
      <c r="AY12" s="432">
        <f>IF(ISNA(VLOOKUP("EH6",'素データ'!$P:$R,3,FALSE)),"",VLOOKUP("EH6",'素データ'!$P:$R,3,FALSE))</f>
      </c>
      <c r="AZ12" s="433">
        <f t="shared" si="0"/>
        <v>18</v>
      </c>
      <c r="BA12" s="434">
        <f t="shared" si="1"/>
        <v>8</v>
      </c>
      <c r="BB12" s="433">
        <f t="shared" si="2"/>
        <v>9</v>
      </c>
      <c r="BC12" s="434">
        <f t="shared" si="3"/>
        <v>1</v>
      </c>
      <c r="BD12" s="435">
        <f t="shared" si="4"/>
        <v>0.47058823529411764</v>
      </c>
      <c r="BE12" s="491">
        <f t="shared" si="5"/>
        <v>5</v>
      </c>
      <c r="BG12" s="11" t="str">
        <f>IF(BA12=((DCOUNTA('素データ'!$F$5:$L$69,"試合結果",criteria!B49:H50))+(DCOUNTA('素データ'!$F$5:$L$69,"試合結果",criteria!B51:H52))),"OK","NG")</f>
        <v>OK</v>
      </c>
      <c r="BH12" s="12" t="str">
        <f>IF(BB12=((DCOUNTA('素データ'!$F$5:$L$69,"試合結果",criteria!B53:H54))+(DCOUNTA('素データ'!$F$5:$L$69,"試合結果",criteria!B55:H56))),"OK","NG")</f>
        <v>OK</v>
      </c>
      <c r="BI12" s="13" t="str">
        <f>IF(BC12=((DCOUNTA('素データ'!$F$5:$L$69,"試合結果",criteria!B57:H58))+(DCOUNTA('素データ'!$F$5:$L$69,"試合結果",criteria!B59:H60))),"OK","NG")</f>
        <v>OK</v>
      </c>
    </row>
    <row r="13" spans="2:61" ht="30" customHeight="1">
      <c r="B13" s="447" t="str">
        <f>'素データ'!Y12</f>
        <v>F</v>
      </c>
      <c r="C13" s="448" t="str">
        <f>VLOOKUP(B13,'素データ'!Y7:Z14,2,FALSE)</f>
        <v>ベアーズ</v>
      </c>
      <c r="D13" s="429" t="str">
        <f>IF($AH$8="","",VLOOKUP($AH$8,'素データ'!$Z$21:$AA$23,2,FALSE))</f>
        <v>●</v>
      </c>
      <c r="E13" s="430" t="str">
        <f>IF($AI$8="","",VLOOKUP($AI$8,'素データ'!$Z$21:$AA$23,2,FALSE))</f>
        <v>●</v>
      </c>
      <c r="F13" s="430" t="str">
        <f>IF($AJ$8="","",VLOOKUP($AJ$8,'素データ'!$Z$21:$AA$23,2,FALSE))</f>
        <v>●</v>
      </c>
      <c r="G13" s="430">
        <f>IF($AK$8="","",VLOOKUP($AK$8,'素データ'!$Z$21:$AA$23,2,FALSE))</f>
      </c>
      <c r="H13" s="430">
        <f>IF($AL$8="","",VLOOKUP($AL$8,'素データ'!$Z$21:$AA$23,2,FALSE))</f>
      </c>
      <c r="I13" s="430">
        <f>IF($AM$8="","",VLOOKUP($AM$8,'素データ'!$Z$21:$AA$23,2,FALSE))</f>
      </c>
      <c r="J13" s="429" t="str">
        <f>IF($AH$9="","",VLOOKUP($AH$9,'素データ'!$Z$21:$AA$23,2,FALSE))</f>
        <v>●</v>
      </c>
      <c r="K13" s="528" t="str">
        <f>IF($AI$9="","",VLOOKUP($AI$9,'素データ'!$Z$21:$AA$23,2,FALSE))</f>
        <v>●</v>
      </c>
      <c r="L13" s="528" t="str">
        <f>IF($AJ$9="","",VLOOKUP($AJ$9,'素データ'!$Z$21:$AA$23,2,FALSE))</f>
        <v>●</v>
      </c>
      <c r="M13" s="528">
        <f>IF($AK$9="","",VLOOKUP($AK$9,'素データ'!$Z$21:$AA$23,2,FALSE))</f>
      </c>
      <c r="N13" s="528">
        <f>IF($AL$9="","",VLOOKUP($AL$9,'素データ'!$Z$21:$AA$23,2,FALSE))</f>
      </c>
      <c r="O13" s="528">
        <f>IF($AM$9="","",VLOOKUP($AM$9,'素データ'!$Z$21:$AA$23,2,FALSE))</f>
      </c>
      <c r="P13" s="529" t="str">
        <f>IF($AH$10="","",VLOOKUP($AH$10,'素データ'!$Z$21:$AA$23,2,FALSE))</f>
        <v>●</v>
      </c>
      <c r="Q13" s="528" t="str">
        <f>IF($AI$10="","",VLOOKUP($AI$10,'素データ'!$Z$21:$AA$23,2,FALSE))</f>
        <v>●</v>
      </c>
      <c r="R13" s="528" t="str">
        <f>IF($AJ$10="","",VLOOKUP($AJ$10,'素データ'!$Z$21:$AA$23,2,FALSE))</f>
        <v>●</v>
      </c>
      <c r="S13" s="528">
        <f>IF($AK$10="","",VLOOKUP($AK$10,'素データ'!$Z$21:$AA$23,2,FALSE))</f>
      </c>
      <c r="T13" s="528">
        <f>IF($AL$10="","",VLOOKUP($AL$10,'素データ'!$Z$21:$AA$23,2,FALSE))</f>
      </c>
      <c r="U13" s="528">
        <f>IF($AM$10="","",VLOOKUP($AM$10,'素データ'!$Z$21:$AA$23,2,FALSE))</f>
      </c>
      <c r="V13" s="529" t="str">
        <f>IF($AH$11="","",VLOOKUP($AH$11,'素データ'!$Z$21:$AA$23,2,FALSE))</f>
        <v>●</v>
      </c>
      <c r="W13" s="528" t="str">
        <f>IF($AI$11="","",VLOOKUP($AI$11,'素データ'!$Z$21:$AA$23,2,FALSE))</f>
        <v>●</v>
      </c>
      <c r="X13" s="430" t="str">
        <f>IF($AJ$11="","",VLOOKUP($AJ$11,'素データ'!$Z$21:$AA$23,2,FALSE))</f>
        <v>●</v>
      </c>
      <c r="Y13" s="430">
        <f>IF($AK$11="","",VLOOKUP($AK$11,'素データ'!$Z$21:$AA$23,2,FALSE))</f>
      </c>
      <c r="Z13" s="430">
        <f>IF($AL$11="","",VLOOKUP($AL$11,'素データ'!$Z$21:$AA$23,2,FALSE))</f>
      </c>
      <c r="AA13" s="430">
        <f>IF($AM$11="","",VLOOKUP($AM$11,'素データ'!$Z$21:$AA$23,2,FALSE))</f>
      </c>
      <c r="AB13" s="429" t="str">
        <f>IF($AH$12="","",VLOOKUP($AH$12,'素データ'!$Z$21:$AA$23,2,FALSE))</f>
        <v>●</v>
      </c>
      <c r="AC13" s="430" t="str">
        <f>IF($AI$12="","",VLOOKUP($AI$12,'素データ'!$Z$21:$AA$23,2,FALSE))</f>
        <v>●</v>
      </c>
      <c r="AD13" s="430" t="str">
        <f>IF($AJ$12="","",VLOOKUP($AJ$12,'素データ'!$Z$21:$AA$23,2,FALSE))</f>
        <v>●</v>
      </c>
      <c r="AE13" s="430">
        <f>IF($AK$12="","",VLOOKUP($AK$12,'素データ'!$Z$21:$AA$23,2,FALSE))</f>
      </c>
      <c r="AF13" s="430">
        <f>IF($AL$12="","",VLOOKUP($AL$12,'素データ'!$Z$21:$AA$23,2,FALSE))</f>
      </c>
      <c r="AG13" s="430">
        <f>IF($AM$12="","",VLOOKUP($AM$12,'素データ'!$Z$21:$AA$23,2,FALSE))</f>
      </c>
      <c r="AH13" s="707" t="s">
        <v>6</v>
      </c>
      <c r="AI13" s="708"/>
      <c r="AJ13" s="708"/>
      <c r="AK13" s="708"/>
      <c r="AL13" s="708"/>
      <c r="AM13" s="708"/>
      <c r="AN13" s="429" t="str">
        <f>IF(ISNA(VLOOKUP("FG1",'素データ'!$P:$R,3,FALSE)),"",VLOOKUP("FG1",'素データ'!$P:$R,3,FALSE))</f>
        <v>○</v>
      </c>
      <c r="AO13" s="430" t="str">
        <f>IF(ISNA(VLOOKUP("FG2",'素データ'!$P:$R,3,FALSE)),"",VLOOKUP("FG2",'素データ'!$P:$R,3,FALSE))</f>
        <v>●</v>
      </c>
      <c r="AP13" s="430" t="str">
        <f>IF(ISNA(VLOOKUP("FG3",'素データ'!$P:$R,3,FALSE)),"",VLOOKUP("FG3",'素データ'!$P:$R,3,FALSE))</f>
        <v>○</v>
      </c>
      <c r="AQ13" s="430">
        <f>IF(ISNA(VLOOKUP("FG4",'素データ'!$P:$R,3,FALSE)),"",VLOOKUP("FG4",'素データ'!$P:$R,3,FALSE))</f>
      </c>
      <c r="AR13" s="430">
        <f>IF(ISNA(VLOOKUP("FG5",'素データ'!$P:$R,3,FALSE)),"",VLOOKUP("FG5",'素データ'!$P:$R,3,FALSE))</f>
      </c>
      <c r="AS13" s="430">
        <f>IF(ISNA(VLOOKUP("FG6",'素データ'!$P:$R,3,FALSE)),"",VLOOKUP("FG6",'素データ'!$P:$R,3,FALSE))</f>
      </c>
      <c r="AT13" s="431">
        <f>IF(ISNA(VLOOKUP("FH1",'素データ'!$P:$R,3,FALSE)),"",VLOOKUP("FH1",'素データ'!$P:$R,3,FALSE))</f>
      </c>
      <c r="AU13" s="432">
        <f>IF(ISNA(VLOOKUP("FH2",'素データ'!$P:$R,3,FALSE)),"",VLOOKUP("FH2",'素データ'!$P:$R,3,FALSE))</f>
      </c>
      <c r="AV13" s="432">
        <f>IF(ISNA(VLOOKUP("FH3",'素データ'!$P:$R,3,FALSE)),"",VLOOKUP("FH3",'素データ'!$P:$R,3,FALSE))</f>
      </c>
      <c r="AW13" s="432">
        <f>IF(ISNA(VLOOKUP("FH4",'素データ'!$P:$R,3,FALSE)),"",VLOOKUP("FH4",'素データ'!$P:$R,3,FALSE))</f>
      </c>
      <c r="AX13" s="432">
        <f>IF(ISNA(VLOOKUP("FH5",'素データ'!$P:$R,3,FALSE)),"",VLOOKUP("FH5",'素データ'!$P:$R,3,FALSE))</f>
      </c>
      <c r="AY13" s="432">
        <f>IF(ISNA(VLOOKUP("FH6",'素データ'!$P:$R,3,FALSE)),"",VLOOKUP("FH6",'素データ'!$P:$R,3,FALSE))</f>
      </c>
      <c r="AZ13" s="433">
        <f t="shared" si="0"/>
        <v>18</v>
      </c>
      <c r="BA13" s="434">
        <f t="shared" si="1"/>
        <v>2</v>
      </c>
      <c r="BB13" s="433">
        <f t="shared" si="2"/>
        <v>16</v>
      </c>
      <c r="BC13" s="434">
        <f t="shared" si="3"/>
        <v>0</v>
      </c>
      <c r="BD13" s="435">
        <f t="shared" si="4"/>
        <v>0.1111111111111111</v>
      </c>
      <c r="BE13" s="491">
        <f t="shared" si="5"/>
        <v>6</v>
      </c>
      <c r="BG13" s="11" t="str">
        <f>IF(BA13=((DCOUNTA('素データ'!$F$5:$L$69,"試合結果",criteria!B61:H62))+(DCOUNTA('素データ'!$F$5:$L$69,"試合結果",criteria!B63:H64))),"OK","NG")</f>
        <v>OK</v>
      </c>
      <c r="BH13" s="12" t="str">
        <f>IF(BB13=((DCOUNTA('素データ'!$F$5:$L$69,"試合結果",criteria!B65:H66))+(DCOUNTA('素データ'!$F$5:$L$69,"試合結果",criteria!B67:H68))),"OK","NG")</f>
        <v>OK</v>
      </c>
      <c r="BI13" s="13" t="str">
        <f>IF(BC13=((DCOUNTA('素データ'!$F$5:$L$69,"試合結果",criteria!B69:H70))+(DCOUNTA('素データ'!$F$5:$L$69,"試合結果",criteria!B71:H72))),"OK","NG")</f>
        <v>OK</v>
      </c>
    </row>
    <row r="14" spans="2:61" ht="30" customHeight="1" thickBot="1">
      <c r="B14" s="436" t="str">
        <f>'素データ'!Y13</f>
        <v>G</v>
      </c>
      <c r="C14" s="437" t="str">
        <f>VLOOKUP(B14,'素データ'!Y7:Z14,2,FALSE)</f>
        <v>サンデーズＪｒＢ</v>
      </c>
      <c r="D14" s="449" t="str">
        <f>IF($AN$8="","",VLOOKUP($AN$8,'素データ'!$Z$21:$AA$23,2,FALSE))</f>
        <v>●</v>
      </c>
      <c r="E14" s="450" t="str">
        <f>IF($AO$8="","",VLOOKUP($AO$8,'素データ'!$Z$21:$AA$23,2,FALSE))</f>
        <v>●</v>
      </c>
      <c r="F14" s="450" t="str">
        <f>IF($AP$8="","",VLOOKUP($AP$8,'素データ'!$Z$21:$AA$23,2,FALSE))</f>
        <v>●</v>
      </c>
      <c r="G14" s="450">
        <f>IF($AQ$8="","",VLOOKUP($AQ$8,'素データ'!$Z$21:$AA$23,2,FALSE))</f>
      </c>
      <c r="H14" s="450">
        <f>IF($AR$8="","",VLOOKUP($AR$8,'素データ'!$Z$21:$AA$23,2,FALSE))</f>
      </c>
      <c r="I14" s="450">
        <f>IF($AS$8="","",VLOOKUP($AS$8,'素データ'!$Z$21:$AA$23,2,FALSE))</f>
      </c>
      <c r="J14" s="449" t="str">
        <f>IF($AN$9="","",VLOOKUP($AN$9,'素データ'!$Z$21:$AA$23,2,FALSE))</f>
        <v>●</v>
      </c>
      <c r="K14" s="450" t="str">
        <f>IF($AO$9="","",VLOOKUP($AO$9,'素データ'!$Z$21:$AA$23,2,FALSE))</f>
        <v>●</v>
      </c>
      <c r="L14" s="450" t="str">
        <f>IF($AP$9="","",VLOOKUP($AP$9,'素データ'!$Z$21:$AA$23,2,FALSE))</f>
        <v>●</v>
      </c>
      <c r="M14" s="450">
        <f>IF($AQ$9="","",VLOOKUP($AQ$9,'素データ'!$Z$21:$AA$23,2,FALSE))</f>
      </c>
      <c r="N14" s="450">
        <f>IF($AR$9="","",VLOOKUP($AR$9,'素データ'!$Z$21:$AA$23,2,FALSE))</f>
      </c>
      <c r="O14" s="450">
        <f>IF($AS$9="","",VLOOKUP($AS$9,'素データ'!$Z$21:$AA$23,2,FALSE))</f>
      </c>
      <c r="P14" s="449" t="str">
        <f>IF($AN$10="","",VLOOKUP($AN$10,'素データ'!$Z$21:$AA$23,2,FALSE))</f>
        <v>●</v>
      </c>
      <c r="Q14" s="450" t="str">
        <f>IF($AO$10="","",VLOOKUP($AO$10,'素データ'!$Z$21:$AA$23,2,FALSE))</f>
        <v>●</v>
      </c>
      <c r="R14" s="450" t="str">
        <f>IF($AP$10="","",VLOOKUP($AP$10,'素データ'!$Z$21:$AA$23,2,FALSE))</f>
        <v>●</v>
      </c>
      <c r="S14" s="450">
        <f>IF($AQ$10="","",VLOOKUP($AQ$10,'素データ'!$Z$21:$AA$23,2,FALSE))</f>
      </c>
      <c r="T14" s="450">
        <f>IF($AR$10="","",VLOOKUP($AR$10,'素データ'!$Z$21:$AA$23,2,FALSE))</f>
      </c>
      <c r="U14" s="450">
        <f>IF($AS$10="","",VLOOKUP($AS$10,'素データ'!$Z$21:$AA$23,2,FALSE))</f>
      </c>
      <c r="V14" s="449" t="str">
        <f>IF($AN$11="","",VLOOKUP($AN$11,'素データ'!$Z$21:$AA$23,2,FALSE))</f>
        <v>●</v>
      </c>
      <c r="W14" s="450" t="str">
        <f>IF($AO$11="","",VLOOKUP($AO$11,'素データ'!$Z$21:$AA$23,2,FALSE))</f>
        <v>●</v>
      </c>
      <c r="X14" s="450" t="str">
        <f>IF($AP$11="","",VLOOKUP($AP$11,'素データ'!$Z$21:$AA$23,2,FALSE))</f>
        <v>●</v>
      </c>
      <c r="Y14" s="450">
        <f>IF($AQ$11="","",VLOOKUP($AQ$11,'素データ'!$Z$21:$AA$23,2,FALSE))</f>
      </c>
      <c r="Z14" s="450">
        <f>IF($AR$11="","",VLOOKUP($AR$11,'素データ'!$Z$21:$AA$23,2,FALSE))</f>
      </c>
      <c r="AA14" s="450">
        <f>IF($AS$11="","",VLOOKUP($AS$11,'素データ'!$Z$21:$AA$23,2,FALSE))</f>
      </c>
      <c r="AB14" s="449" t="str">
        <f>IF($AN$12="","",VLOOKUP($AN$12,'素データ'!$Z$21:$AA$23,2,FALSE))</f>
        <v>●</v>
      </c>
      <c r="AC14" s="450" t="str">
        <f>IF($AO$12="","",VLOOKUP($AO$12,'素データ'!$Z$21:$AA$23,2,FALSE))</f>
        <v>●</v>
      </c>
      <c r="AD14" s="450" t="str">
        <f>IF($AP$12="","",VLOOKUP($AP$12,'素データ'!$Z$21:$AA$23,2,FALSE))</f>
        <v>●</v>
      </c>
      <c r="AE14" s="450">
        <f>IF($AQ$12="","",VLOOKUP($AQ$12,'素データ'!$Z$21:$AA$23,2,FALSE))</f>
      </c>
      <c r="AF14" s="450">
        <f>IF($AR$12="","",VLOOKUP($AR$12,'素データ'!$Z$21:$AA$23,2,FALSE))</f>
      </c>
      <c r="AG14" s="450">
        <f>IF($AS$12="","",VLOOKUP($AS$12,'素データ'!$Z$21:$AA$23,2,FALSE))</f>
      </c>
      <c r="AH14" s="449" t="str">
        <f>IF($AN$13="","",VLOOKUP($AN$13,'素データ'!$Z$21:$AA$23,2,FALSE))</f>
        <v>●</v>
      </c>
      <c r="AI14" s="450" t="str">
        <f>IF($AO$13="","",VLOOKUP($AO$13,'素データ'!$Z$21:$AA$23,2,FALSE))</f>
        <v>○</v>
      </c>
      <c r="AJ14" s="450" t="str">
        <f>IF($AP$13="","",VLOOKUP($AP$13,'素データ'!$Z$21:$AA$23,2,FALSE))</f>
        <v>●</v>
      </c>
      <c r="AK14" s="450">
        <f>IF($AQ$13="","",VLOOKUP($AQ$13,'素データ'!$Z$21:$AA$23,2,FALSE))</f>
      </c>
      <c r="AL14" s="450">
        <f>IF($AR$13="","",VLOOKUP($AR$13,'素データ'!$Z$21:$AA$23,2,FALSE))</f>
      </c>
      <c r="AM14" s="450">
        <f>IF($AS$13="","",VLOOKUP($AS$13,'素データ'!$Z$21:$AA$23,2,FALSE))</f>
      </c>
      <c r="AN14" s="620" t="s">
        <v>6</v>
      </c>
      <c r="AO14" s="621"/>
      <c r="AP14" s="621"/>
      <c r="AQ14" s="621"/>
      <c r="AR14" s="621"/>
      <c r="AS14" s="621"/>
      <c r="AT14" s="451">
        <f>IF(ISNA(VLOOKUP("GH1",'素データ'!$P:$R,3,FALSE)),"",VLOOKUP("GH1",'素データ'!$P:$R,3,FALSE))</f>
      </c>
      <c r="AU14" s="452">
        <f>IF(ISNA(VLOOKUP("GH2",'素データ'!$P:$R,3,FALSE)),"",VLOOKUP("GH2",'素データ'!$P:$R,3,FALSE))</f>
      </c>
      <c r="AV14" s="452">
        <f>IF(ISNA(VLOOKUP("GH3",'素データ'!$P:$R,3,FALSE)),"",VLOOKUP("GH3",'素データ'!$P:$R,3,FALSE))</f>
      </c>
      <c r="AW14" s="452">
        <f>IF(ISNA(VLOOKUP("GH4",'素データ'!$P:$R,3,FALSE)),"",VLOOKUP("GH4",'素データ'!$P:$R,3,FALSE))</f>
      </c>
      <c r="AX14" s="452">
        <f>IF(ISNA(VLOOKUP("GH5",'素データ'!$P:$R,3,FALSE)),"",VLOOKUP("GH5",'素データ'!$P:$R,3,FALSE))</f>
      </c>
      <c r="AY14" s="452">
        <f>IF(ISNA(VLOOKUP("GH6",'素データ'!$P:$R,3,FALSE)),"",VLOOKUP("GH6",'素データ'!$P:$R,3,FALSE))</f>
      </c>
      <c r="AZ14" s="453">
        <f t="shared" si="0"/>
        <v>18</v>
      </c>
      <c r="BA14" s="454">
        <f t="shared" si="1"/>
        <v>1</v>
      </c>
      <c r="BB14" s="453">
        <f t="shared" si="2"/>
        <v>17</v>
      </c>
      <c r="BC14" s="454">
        <f t="shared" si="3"/>
        <v>0</v>
      </c>
      <c r="BD14" s="455">
        <f t="shared" si="4"/>
        <v>0.05555555555555555</v>
      </c>
      <c r="BE14" s="492">
        <f t="shared" si="5"/>
        <v>7</v>
      </c>
      <c r="BG14" s="479" t="str">
        <f>IF(BA14=((DCOUNTA('素データ'!$F$5:$L$69,"試合結果",criteria!B73:H74))+(DCOUNTA('素データ'!$F$5:$L$69,"試合結果",criteria!B75:H76))),"OK","NG")</f>
        <v>OK</v>
      </c>
      <c r="BH14" s="480" t="str">
        <f>IF(BB14=((DCOUNTA('素データ'!$F$5:$L$69,"試合結果",criteria!B77:H78))+(DCOUNTA('素データ'!$F$5:$L$69,"試合結果",criteria!B79:H80))),"OK","NG")</f>
        <v>OK</v>
      </c>
      <c r="BI14" s="481" t="str">
        <f>IF(BC14=((DCOUNTA('素データ'!$F$5:$L$69,"試合結果",criteria!B81:H82))+(DCOUNTA('素データ'!$F$5:$L$69,"試合結果",criteria!B83:H84))),"OK","NG")</f>
        <v>OK</v>
      </c>
    </row>
    <row r="15" spans="2:61" ht="24.75" customHeight="1" hidden="1" thickBot="1">
      <c r="B15" s="405" t="str">
        <f>'素データ'!Y14</f>
        <v>H</v>
      </c>
      <c r="C15" s="406" t="str">
        <f>VLOOKUP(B15,'素データ'!Y7:Z14,2,FALSE)</f>
        <v>Dummy</v>
      </c>
      <c r="D15" s="407">
        <f>IF($AT$8="","",VLOOKUP($AT$8,'素データ'!$Z$21:$AA$23,2,FALSE))</f>
      </c>
      <c r="E15" s="408">
        <f>IF($AU$8="","",VLOOKUP($AU$8,'素データ'!$Z$21:$AA$23,2,FALSE))</f>
      </c>
      <c r="F15" s="408">
        <f>IF($AV$8="","",VLOOKUP($AV$8,'素データ'!$Z$21:$AA$23,2,FALSE))</f>
      </c>
      <c r="G15" s="408">
        <f>IF($AW$8="","",VLOOKUP($AW$8,'素データ'!$Z$21:$AA$23,2,FALSE))</f>
      </c>
      <c r="H15" s="408">
        <f>IF($AX$8="","",VLOOKUP($AX$8,'素データ'!$Z$21:$AA$23,2,FALSE))</f>
      </c>
      <c r="I15" s="408">
        <f>IF($AY$8="","",VLOOKUP($AY$8,'素データ'!$Z$21:$AA$23,2,FALSE))</f>
      </c>
      <c r="J15" s="407">
        <f>IF($AT$9="","",VLOOKUP($AT$9,'素データ'!$Z$21:$AA$23,2,FALSE))</f>
      </c>
      <c r="K15" s="408">
        <f>IF($AU$9="","",VLOOKUP($AU$9,'素データ'!$Z$21:$AA$23,2,FALSE))</f>
      </c>
      <c r="L15" s="408">
        <f>IF($AV$9="","",VLOOKUP($AV$9,'素データ'!$Z$21:$AA$23,2,FALSE))</f>
      </c>
      <c r="M15" s="408">
        <f>IF($AW$9="","",VLOOKUP($AW$9,'素データ'!$Z$21:$AA$23,2,FALSE))</f>
      </c>
      <c r="N15" s="408">
        <f>IF($AX$9="","",VLOOKUP($AX$9,'素データ'!$Z$21:$AA$23,2,FALSE))</f>
      </c>
      <c r="O15" s="408">
        <f>IF($AY$9="","",VLOOKUP($AY$9,'素データ'!$Z$21:$AA$23,2,FALSE))</f>
      </c>
      <c r="P15" s="407">
        <f>IF($AT$10="","",VLOOKUP($AT$10,'素データ'!$Z$21:$AA$23,2,FALSE))</f>
      </c>
      <c r="Q15" s="408">
        <f>IF($AU$10="","",VLOOKUP($AU$10,'素データ'!$Z$21:$AA$23,2,FALSE))</f>
      </c>
      <c r="R15" s="408">
        <f>IF($AV$10="","",VLOOKUP($AV$10,'素データ'!$Z$21:$AA$23,2,FALSE))</f>
      </c>
      <c r="S15" s="408">
        <f>IF($AW$10="","",VLOOKUP($AW$10,'素データ'!$Z$21:$AA$23,2,FALSE))</f>
      </c>
      <c r="T15" s="408">
        <f>IF($AX$10="","",VLOOKUP($AX$10,'素データ'!$Z$21:$AA$23,2,FALSE))</f>
      </c>
      <c r="U15" s="408">
        <f>IF($AY$10="","",VLOOKUP($AY$10,'素データ'!$Z$21:$AA$23,2,FALSE))</f>
      </c>
      <c r="V15" s="407">
        <f>IF($AT$11="","",VLOOKUP($AT$11,'素データ'!$Z$21:$AA$23,2,FALSE))</f>
      </c>
      <c r="W15" s="408">
        <f>IF($AU$11="","",VLOOKUP($AU$11,'素データ'!$Z$21:$AA$23,2,FALSE))</f>
      </c>
      <c r="X15" s="408">
        <f>IF($AV$11="","",VLOOKUP($AV$11,'素データ'!$Z$21:$AA$23,2,FALSE))</f>
      </c>
      <c r="Y15" s="408">
        <f>IF($AW$11="","",VLOOKUP($AW$11,'素データ'!$Z$21:$AA$23,2,FALSE))</f>
      </c>
      <c r="Z15" s="408">
        <f>IF($AX$11="","",VLOOKUP($AX$11,'素データ'!$Z$21:$AA$23,2,FALSE))</f>
      </c>
      <c r="AA15" s="408">
        <f>IF($AY$11="","",VLOOKUP($AY$11,'素データ'!$Z$21:$AA$23,2,FALSE))</f>
      </c>
      <c r="AB15" s="407">
        <f>IF($AT$12="","",VLOOKUP($AT$12,'素データ'!$Z$21:$AA$23,2,FALSE))</f>
      </c>
      <c r="AC15" s="408">
        <f>IF($AU$12="","",VLOOKUP($AU$12,'素データ'!$Z$21:$AA$23,2,FALSE))</f>
      </c>
      <c r="AD15" s="408">
        <f>IF($AV$12="","",VLOOKUP($AV$12,'素データ'!$Z$21:$AA$23,2,FALSE))</f>
      </c>
      <c r="AE15" s="408">
        <f>IF($AW$12="","",VLOOKUP($AW$12,'素データ'!$Z$21:$AA$23,2,FALSE))</f>
      </c>
      <c r="AF15" s="408">
        <f>IF($AX$12="","",VLOOKUP($AX$12,'素データ'!$Z$21:$AA$23,2,FALSE))</f>
      </c>
      <c r="AG15" s="408">
        <f>IF($AY$12="","",VLOOKUP($AY$12,'素データ'!$Z$21:$AA$23,2,FALSE))</f>
      </c>
      <c r="AH15" s="407">
        <f>IF($AT$13="","",VLOOKUP($AT$13,'素データ'!$Z$21:$AA$23,2,FALSE))</f>
      </c>
      <c r="AI15" s="408">
        <f>IF($AU$13="","",VLOOKUP($AU$13,'素データ'!$Z$21:$AA$23,2,FALSE))</f>
      </c>
      <c r="AJ15" s="408">
        <f>IF($AV$13="","",VLOOKUP($AV$13,'素データ'!$Z$21:$AA$23,2,FALSE))</f>
      </c>
      <c r="AK15" s="408">
        <f>IF($AW$13="","",VLOOKUP($AW$13,'素データ'!$Z$21:$AA$23,2,FALSE))</f>
      </c>
      <c r="AL15" s="408">
        <f>IF($AX$13="","",VLOOKUP($AX$13,'素データ'!$Z$21:$AA$23,2,FALSE))</f>
      </c>
      <c r="AM15" s="408">
        <f>IF($AY$13="","",VLOOKUP($AY$13,'素データ'!$Z$21:$AA$23,2,FALSE))</f>
      </c>
      <c r="AN15" s="407">
        <f>IF($AT$14="","",VLOOKUP($AT$14,'素データ'!$Z$21:$AA$23,2,FALSE))</f>
      </c>
      <c r="AO15" s="408">
        <f>IF($AU$14="","",VLOOKUP($AU$14,'素データ'!$Z$21:$AA$23,2,FALSE))</f>
      </c>
      <c r="AP15" s="408">
        <f>IF($AV$14="","",VLOOKUP($AV$14,'素データ'!$Z$21:$AA$23,2,FALSE))</f>
      </c>
      <c r="AQ15" s="408">
        <f>IF($AW$14="","",VLOOKUP($AW$14,'素データ'!$Z$21:$AA$23,2,FALSE))</f>
      </c>
      <c r="AR15" s="408">
        <f>IF($AX$14="","",VLOOKUP($AX$14,'素データ'!$Z$21:$AA$23,2,FALSE))</f>
      </c>
      <c r="AS15" s="408">
        <f>IF($AY$14="","",VLOOKUP($AY$14,'素データ'!$Z$21:$AA$23,2,FALSE))</f>
      </c>
      <c r="AT15" s="713" t="s">
        <v>6</v>
      </c>
      <c r="AU15" s="714"/>
      <c r="AV15" s="714"/>
      <c r="AW15" s="714"/>
      <c r="AX15" s="714"/>
      <c r="AY15" s="715"/>
      <c r="AZ15" s="409">
        <f t="shared" si="0"/>
        <v>0</v>
      </c>
      <c r="BA15" s="410">
        <f t="shared" si="1"/>
        <v>0</v>
      </c>
      <c r="BB15" s="409">
        <f t="shared" si="2"/>
        <v>0</v>
      </c>
      <c r="BC15" s="410">
        <f t="shared" si="3"/>
        <v>0</v>
      </c>
      <c r="BD15" s="411" t="e">
        <f t="shared" si="4"/>
        <v>#DIV/0!</v>
      </c>
      <c r="BE15" s="412" t="e">
        <f>RANK(BD15,$BD$8:$BD$15,0)</f>
        <v>#DIV/0!</v>
      </c>
      <c r="BG15" s="476" t="str">
        <f>IF(BA15=((DCOUNTA('素データ'!$F$5:$L$69,"試合結果",criteria!B85:H86))+(DCOUNTA('素データ'!$F$5:$L$69,"試合結果",criteria!B87:H88))),"OK","NG")</f>
        <v>OK</v>
      </c>
      <c r="BH15" s="477" t="str">
        <f>IF(BB15=((DCOUNTA('素データ'!$F$5:$L$69,"試合結果",criteria!B89:H90))+(DCOUNTA('素データ'!$F$5:$L$69,"試合結果",criteria!B91:H92))),"OK","NG")</f>
        <v>OK</v>
      </c>
      <c r="BI15" s="478" t="str">
        <f>IF(BC15=((DCOUNTA('素データ'!$F$5:$L$69,"試合結果",criteria!B93:H94))+(DCOUNTA('素データ'!$F$5:$L$69,"試合結果",criteria!B95:H96))),"OK","NG")</f>
        <v>OK</v>
      </c>
    </row>
  </sheetData>
  <sheetProtection/>
  <mergeCells count="37">
    <mergeCell ref="BE6:BE7"/>
    <mergeCell ref="BG6:BI6"/>
    <mergeCell ref="B4:BE4"/>
    <mergeCell ref="BG4:BI4"/>
    <mergeCell ref="BD6:BD7"/>
    <mergeCell ref="B6:C7"/>
    <mergeCell ref="AZ6:AZ7"/>
    <mergeCell ref="BA6:BA7"/>
    <mergeCell ref="BB6:BB7"/>
    <mergeCell ref="BC6:BC7"/>
    <mergeCell ref="AH13:AM13"/>
    <mergeCell ref="D6:I6"/>
    <mergeCell ref="D7:I7"/>
    <mergeCell ref="D8:I8"/>
    <mergeCell ref="J9:O9"/>
    <mergeCell ref="J6:O6"/>
    <mergeCell ref="J7:O7"/>
    <mergeCell ref="P7:U7"/>
    <mergeCell ref="AT15:AY15"/>
    <mergeCell ref="AT6:AY6"/>
    <mergeCell ref="AT7:AY7"/>
    <mergeCell ref="AB6:AG6"/>
    <mergeCell ref="AB7:AG7"/>
    <mergeCell ref="AH6:AM6"/>
    <mergeCell ref="AN6:AS6"/>
    <mergeCell ref="AH7:AM7"/>
    <mergeCell ref="AN7:AS7"/>
    <mergeCell ref="AN14:AS14"/>
    <mergeCell ref="U2:W2"/>
    <mergeCell ref="X2:AC2"/>
    <mergeCell ref="AD2:AU2"/>
    <mergeCell ref="AB12:AG12"/>
    <mergeCell ref="P10:U10"/>
    <mergeCell ref="V11:AA11"/>
    <mergeCell ref="P6:U6"/>
    <mergeCell ref="V6:AA6"/>
    <mergeCell ref="V7:AA7"/>
  </mergeCell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53"/>
  </sheetPr>
  <dimension ref="B2:O39"/>
  <sheetViews>
    <sheetView showGridLines="0" zoomScale="75" zoomScaleNormal="75" workbookViewId="0" topLeftCell="A1">
      <selection activeCell="I48" sqref="I48"/>
    </sheetView>
  </sheetViews>
  <sheetFormatPr defaultColWidth="8.796875" defaultRowHeight="15"/>
  <cols>
    <col min="1" max="1" width="0.8984375" style="0" customWidth="1"/>
    <col min="2" max="2" width="11" style="0" customWidth="1"/>
    <col min="7" max="7" width="9.796875" style="0" customWidth="1"/>
    <col min="8" max="14" width="15.69921875" style="0" customWidth="1"/>
  </cols>
  <sheetData>
    <row r="1" ht="15" thickBot="1"/>
    <row r="2" spans="2:15" ht="21" customHeight="1">
      <c r="B2" s="724" t="str">
        <f>'素データ'!Z7</f>
        <v>ファイターズＡ</v>
      </c>
      <c r="C2" s="724"/>
      <c r="D2" s="724"/>
      <c r="E2" s="724"/>
      <c r="F2" s="141"/>
      <c r="G2" s="352" t="s">
        <v>156</v>
      </c>
      <c r="H2" s="101">
        <f>SUM('スコア付き集計表'!J8:J13)</f>
        <v>15</v>
      </c>
      <c r="I2" s="102">
        <f>SUM('スコア付き集計表'!N8:N13)</f>
        <v>9</v>
      </c>
      <c r="J2" s="102">
        <f>SUM('スコア付き集計表'!R8:R13)</f>
        <v>18</v>
      </c>
      <c r="K2" s="102">
        <f>SUM('スコア付き集計表'!V8:V13)</f>
        <v>23</v>
      </c>
      <c r="L2" s="102">
        <f>SUM('スコア付き集計表'!Z8:Z13)</f>
        <v>52</v>
      </c>
      <c r="M2" s="102">
        <f>SUM('スコア付き集計表'!AD8:AD13)</f>
        <v>62</v>
      </c>
      <c r="N2" s="348">
        <f>SUM('スコア付き集計表'!AH8:AH13)</f>
        <v>0</v>
      </c>
      <c r="O2" s="209">
        <f>SUM(H2:N2)</f>
        <v>179</v>
      </c>
    </row>
    <row r="3" spans="2:15" ht="21.75" customHeight="1" thickBot="1">
      <c r="B3" s="724"/>
      <c r="C3" s="724"/>
      <c r="D3" s="724"/>
      <c r="E3" s="724"/>
      <c r="F3" s="141"/>
      <c r="G3" s="353" t="s">
        <v>157</v>
      </c>
      <c r="H3" s="103">
        <f>SUM('スコア付き集計表'!L8:L13)</f>
        <v>11</v>
      </c>
      <c r="I3" s="104">
        <f>SUM('スコア付き集計表'!P8:P13)</f>
        <v>10</v>
      </c>
      <c r="J3" s="104">
        <f>SUM('スコア付き集計表'!T8:T13)</f>
        <v>9</v>
      </c>
      <c r="K3" s="104">
        <f>SUM('スコア付き集計表'!X8:X13)</f>
        <v>4</v>
      </c>
      <c r="L3" s="104">
        <f>SUM('スコア付き集計表'!AB8:AB13)</f>
        <v>5</v>
      </c>
      <c r="M3" s="104">
        <f>SUM('スコア付き集計表'!AF8:AF13)</f>
        <v>18</v>
      </c>
      <c r="N3" s="349">
        <f>SUM('スコア付き集計表'!AJ8:AJ13)</f>
        <v>0</v>
      </c>
      <c r="O3" s="210">
        <f>SUM(H3:N3)</f>
        <v>57</v>
      </c>
    </row>
    <row r="4" spans="2:15" ht="14.25" customHeight="1">
      <c r="B4" s="724"/>
      <c r="C4" s="724"/>
      <c r="D4" s="724"/>
      <c r="E4" s="724"/>
      <c r="F4" s="141"/>
      <c r="G4" s="355" t="s">
        <v>155</v>
      </c>
      <c r="H4" s="342" t="str">
        <f>VLOOKUP(H5,'素データ'!Y7:Z14,2,FALSE)</f>
        <v>サンデーズＪｒＡ</v>
      </c>
      <c r="I4" s="343" t="str">
        <f>VLOOKUP(I5,'素データ'!Y7:Z14,2,FALSE)</f>
        <v>ファイターズＢ</v>
      </c>
      <c r="J4" s="344" t="str">
        <f>VLOOKUP(J5,'素データ'!Y7:Z14,2,FALSE)</f>
        <v>クッパーズＪｒ</v>
      </c>
      <c r="K4" s="345" t="str">
        <f>VLOOKUP(K5,'素データ'!Y7:Z14,2,FALSE)</f>
        <v>パイレーツ</v>
      </c>
      <c r="L4" s="346" t="str">
        <f>VLOOKUP(L5,'素データ'!Y7:Z14,2,FALSE)</f>
        <v>ベアーズ</v>
      </c>
      <c r="M4" s="347" t="str">
        <f>VLOOKUP(M5,'素データ'!Y7:Z14,2,FALSE)</f>
        <v>サンデーズＪｒＢ</v>
      </c>
      <c r="N4" s="350" t="str">
        <f>VLOOKUP(N5,'素データ'!Y7:Z14,2,FALSE)</f>
        <v>Dummy</v>
      </c>
      <c r="O4" s="109" t="s">
        <v>159</v>
      </c>
    </row>
    <row r="5" spans="7:15" ht="16.5" thickBot="1">
      <c r="G5" s="353" t="s">
        <v>158</v>
      </c>
      <c r="H5" s="270" t="str">
        <f>'素データ'!Y8</f>
        <v>B</v>
      </c>
      <c r="I5" s="271" t="str">
        <f>'素データ'!Y9</f>
        <v>C</v>
      </c>
      <c r="J5" s="272" t="str">
        <f>'素データ'!Y10</f>
        <v>D</v>
      </c>
      <c r="K5" s="273" t="str">
        <f>'素データ'!Y11</f>
        <v>E</v>
      </c>
      <c r="L5" s="274" t="str">
        <f>'素データ'!Y12</f>
        <v>F</v>
      </c>
      <c r="M5" s="275" t="str">
        <f>'素データ'!Y13</f>
        <v>G</v>
      </c>
      <c r="N5" s="351" t="str">
        <f>'素データ'!Y14</f>
        <v>H</v>
      </c>
      <c r="O5" s="108" t="str">
        <f>IF(AND(O2='スコア付き集計表'!AP8,O3='スコア付き集計表'!AQ8),"OK","NG")</f>
        <v>OK</v>
      </c>
    </row>
    <row r="39" ht="14.25">
      <c r="B39" s="114" t="s">
        <v>241</v>
      </c>
    </row>
  </sheetData>
  <sheetProtection/>
  <mergeCells count="1">
    <mergeCell ref="B2:E4"/>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1"/>
  </sheetPr>
  <dimension ref="B2:O5"/>
  <sheetViews>
    <sheetView showGridLines="0" zoomScale="75" zoomScaleNormal="75" workbookViewId="0" topLeftCell="A1">
      <selection activeCell="J56" sqref="J56"/>
    </sheetView>
  </sheetViews>
  <sheetFormatPr defaultColWidth="8.796875" defaultRowHeight="15"/>
  <cols>
    <col min="1" max="1" width="1.796875" style="0" customWidth="1"/>
    <col min="2" max="2" width="11" style="0" customWidth="1"/>
    <col min="7" max="7" width="9.8984375" style="0" customWidth="1"/>
    <col min="8" max="14" width="15.69921875" style="0" customWidth="1"/>
  </cols>
  <sheetData>
    <row r="1" ht="15" thickBot="1"/>
    <row r="2" spans="2:15" ht="21" customHeight="1">
      <c r="B2" s="725" t="str">
        <f>'素データ'!Z8</f>
        <v>サンデーズＪｒＡ</v>
      </c>
      <c r="C2" s="725"/>
      <c r="D2" s="725"/>
      <c r="E2" s="725"/>
      <c r="G2" s="352" t="s">
        <v>156</v>
      </c>
      <c r="H2" s="101">
        <f>SUM('スコア付き集計表'!F14:F19)</f>
        <v>11</v>
      </c>
      <c r="I2" s="102">
        <f>SUM('スコア付き集計表'!N14:N19)</f>
        <v>29</v>
      </c>
      <c r="J2" s="102">
        <f>SUM('スコア付き集計表'!R14:R19)</f>
        <v>29</v>
      </c>
      <c r="K2" s="102">
        <f>SUM('スコア付き集計表'!V14:V19)</f>
        <v>29</v>
      </c>
      <c r="L2" s="102">
        <f>SUM('スコア付き集計表'!Z14:Z19)</f>
        <v>54</v>
      </c>
      <c r="M2" s="102">
        <f>SUM('スコア付き集計表'!AD14:AD19)</f>
        <v>72</v>
      </c>
      <c r="N2" s="348">
        <f>SUM('スコア付き集計表'!AH14:AH19)</f>
        <v>0</v>
      </c>
      <c r="O2" s="209">
        <f>SUM(H2:N2)</f>
        <v>224</v>
      </c>
    </row>
    <row r="3" spans="2:15" ht="21.75" customHeight="1" thickBot="1">
      <c r="B3" s="725"/>
      <c r="C3" s="725"/>
      <c r="D3" s="725"/>
      <c r="E3" s="725"/>
      <c r="G3" s="353" t="s">
        <v>157</v>
      </c>
      <c r="H3" s="103">
        <f>SUM('スコア付き集計表'!H14:H19)</f>
        <v>15</v>
      </c>
      <c r="I3" s="104">
        <f>SUM('スコア付き集計表'!P14:P19)</f>
        <v>7</v>
      </c>
      <c r="J3" s="104">
        <f>SUM('スコア付き集計表'!T14:T19)</f>
        <v>5</v>
      </c>
      <c r="K3" s="104">
        <f>SUM('スコア付き集計表'!X14:X19)</f>
        <v>8</v>
      </c>
      <c r="L3" s="104">
        <f>SUM('スコア付き集計表'!AB14:AB19)</f>
        <v>3</v>
      </c>
      <c r="M3" s="104">
        <f>SUM('スコア付き集計表'!AF14:AF19)</f>
        <v>1</v>
      </c>
      <c r="N3" s="349">
        <f>SUM('スコア付き集計表'!AJ14:AJ19)</f>
        <v>0</v>
      </c>
      <c r="O3" s="210">
        <f>SUM(H3:N3)</f>
        <v>39</v>
      </c>
    </row>
    <row r="4" spans="2:15" ht="14.25" customHeight="1">
      <c r="B4" s="725"/>
      <c r="C4" s="725"/>
      <c r="D4" s="725"/>
      <c r="E4" s="725"/>
      <c r="G4" s="355" t="s">
        <v>155</v>
      </c>
      <c r="H4" s="354" t="str">
        <f>VLOOKUP(H5,'素データ'!$Y$7:$Z$14,2,FALSE)</f>
        <v>ファイターズＡ</v>
      </c>
      <c r="I4" s="343" t="str">
        <f>VLOOKUP(I5,'素データ'!$Y$7:$Z$14,2,FALSE)</f>
        <v>ファイターズＢ</v>
      </c>
      <c r="J4" s="344" t="str">
        <f>VLOOKUP(J5,'素データ'!$Y$7:$Z$14,2,FALSE)</f>
        <v>クッパーズＪｒ</v>
      </c>
      <c r="K4" s="345" t="str">
        <f>VLOOKUP(K5,'素データ'!$Y$7:$Z$14,2,FALSE)</f>
        <v>パイレーツ</v>
      </c>
      <c r="L4" s="346" t="str">
        <f>VLOOKUP(L5,'素データ'!$Y$7:$Z$14,2,FALSE)</f>
        <v>ベアーズ</v>
      </c>
      <c r="M4" s="347" t="str">
        <f>VLOOKUP(M5,'素データ'!$Y$7:$Z$14,2,FALSE)</f>
        <v>サンデーズＪｒＢ</v>
      </c>
      <c r="N4" s="350" t="str">
        <f>VLOOKUP(N5,'素データ'!$Y$7:$Z$14,2,FALSE)</f>
        <v>Dummy</v>
      </c>
      <c r="O4" s="109" t="s">
        <v>159</v>
      </c>
    </row>
    <row r="5" spans="7:15" ht="16.5" thickBot="1">
      <c r="G5" s="353" t="s">
        <v>158</v>
      </c>
      <c r="H5" s="276" t="str">
        <f>'素データ'!Y7</f>
        <v>A</v>
      </c>
      <c r="I5" s="271" t="str">
        <f>'素データ'!Y9</f>
        <v>C</v>
      </c>
      <c r="J5" s="272" t="str">
        <f>'素データ'!Y10</f>
        <v>D</v>
      </c>
      <c r="K5" s="273" t="str">
        <f>'素データ'!Y11</f>
        <v>E</v>
      </c>
      <c r="L5" s="274" t="str">
        <f>'素データ'!Y12</f>
        <v>F</v>
      </c>
      <c r="M5" s="275" t="str">
        <f>'素データ'!Y13</f>
        <v>G</v>
      </c>
      <c r="N5" s="351" t="str">
        <f>'素データ'!Y14</f>
        <v>H</v>
      </c>
      <c r="O5" s="108" t="str">
        <f>IF(AND(O2='スコア付き集計表'!AP14,O3='スコア付き集計表'!AQ14),"OK","NG")</f>
        <v>OK</v>
      </c>
    </row>
  </sheetData>
  <sheetProtection/>
  <mergeCells count="1">
    <mergeCell ref="B2:E4"/>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5"/>
  </sheetPr>
  <dimension ref="B2:O5"/>
  <sheetViews>
    <sheetView showGridLines="0" zoomScale="75" zoomScaleNormal="75" workbookViewId="0" topLeftCell="A1">
      <selection activeCell="H46" sqref="H46"/>
    </sheetView>
  </sheetViews>
  <sheetFormatPr defaultColWidth="8.796875" defaultRowHeight="15"/>
  <cols>
    <col min="1" max="1" width="1.4921875" style="0" customWidth="1"/>
    <col min="2" max="2" width="11" style="0" customWidth="1"/>
    <col min="7" max="7" width="9.8984375" style="0" customWidth="1"/>
    <col min="8" max="14" width="15.69921875" style="0" customWidth="1"/>
  </cols>
  <sheetData>
    <row r="1" ht="15" thickBot="1"/>
    <row r="2" spans="2:15" ht="21" customHeight="1">
      <c r="B2" s="726" t="str">
        <f>'素データ'!Z9</f>
        <v>ファイターズＢ</v>
      </c>
      <c r="C2" s="726"/>
      <c r="D2" s="726"/>
      <c r="E2" s="726"/>
      <c r="G2" s="352" t="s">
        <v>156</v>
      </c>
      <c r="H2" s="101">
        <f>SUM('スコア付き集計表'!F20:F25)</f>
        <v>10</v>
      </c>
      <c r="I2" s="102">
        <f>SUM('スコア付き集計表'!J20:J25)</f>
        <v>7</v>
      </c>
      <c r="J2" s="102">
        <f>SUM('スコア付き集計表'!R20:R25)</f>
        <v>22</v>
      </c>
      <c r="K2" s="102">
        <f>SUM('スコア付き集計表'!V20:V25)</f>
        <v>13</v>
      </c>
      <c r="L2" s="102">
        <f>SUM('スコア付き集計表'!Z20:Z25)</f>
        <v>37</v>
      </c>
      <c r="M2" s="102">
        <f>SUM('スコア付き集計表'!AD20:AD25)</f>
        <v>56</v>
      </c>
      <c r="N2" s="348">
        <f>SUM('スコア付き集計表'!AH20:AH25)</f>
        <v>0</v>
      </c>
      <c r="O2" s="209">
        <f>SUM(H2:N2)</f>
        <v>145</v>
      </c>
    </row>
    <row r="3" spans="2:15" ht="21.75" customHeight="1" thickBot="1">
      <c r="B3" s="726"/>
      <c r="C3" s="726"/>
      <c r="D3" s="726"/>
      <c r="E3" s="726"/>
      <c r="G3" s="353" t="s">
        <v>157</v>
      </c>
      <c r="H3" s="103">
        <f>SUM('スコア付き集計表'!H20:H25)</f>
        <v>9</v>
      </c>
      <c r="I3" s="104">
        <f>SUM('スコア付き集計表'!L20:L25)</f>
        <v>29</v>
      </c>
      <c r="J3" s="104">
        <f>SUM('スコア付き集計表'!T20:T25)</f>
        <v>11</v>
      </c>
      <c r="K3" s="104">
        <f>SUM('スコア付き集計表'!X20:X25)</f>
        <v>10</v>
      </c>
      <c r="L3" s="104">
        <f>SUM('スコア付き集計表'!AB20:AB25)</f>
        <v>7</v>
      </c>
      <c r="M3" s="104">
        <f>SUM('スコア付き集計表'!AF20:AF25)</f>
        <v>7</v>
      </c>
      <c r="N3" s="349">
        <f>SUM('スコア付き集計表'!AJ20:AJ25)</f>
        <v>0</v>
      </c>
      <c r="O3" s="210">
        <f>SUM(H3:N3)</f>
        <v>73</v>
      </c>
    </row>
    <row r="4" spans="2:15" ht="14.25" customHeight="1">
      <c r="B4" s="726"/>
      <c r="C4" s="726"/>
      <c r="D4" s="726"/>
      <c r="E4" s="726"/>
      <c r="G4" s="125" t="s">
        <v>155</v>
      </c>
      <c r="H4" s="354" t="str">
        <f>VLOOKUP(H5,'素データ'!$Y$7:$Z$14,2,FALSE)</f>
        <v>ファイターズＡ</v>
      </c>
      <c r="I4" s="342" t="str">
        <f>VLOOKUP(I5,'素データ'!$Y$7:$Z$14,2,FALSE)</f>
        <v>サンデーズＪｒＡ</v>
      </c>
      <c r="J4" s="356" t="str">
        <f>VLOOKUP(J5,'素データ'!$Y$7:$Z$14,2,FALSE)</f>
        <v>クッパーズＪｒ</v>
      </c>
      <c r="K4" s="357" t="str">
        <f>VLOOKUP(K5,'素データ'!$Y$7:$Z$14,2,FALSE)</f>
        <v>パイレーツ</v>
      </c>
      <c r="L4" s="358" t="str">
        <f>VLOOKUP(L5,'素データ'!$Y$7:$Z$14,2,FALSE)</f>
        <v>ベアーズ</v>
      </c>
      <c r="M4" s="359" t="str">
        <f>VLOOKUP(M5,'素データ'!$Y$7:$Z$14,2,FALSE)</f>
        <v>サンデーズＪｒＢ</v>
      </c>
      <c r="N4" s="360" t="str">
        <f>VLOOKUP(N5,'素データ'!$Y$7:$Z$14,2,FALSE)</f>
        <v>Dummy</v>
      </c>
      <c r="O4" s="109" t="s">
        <v>159</v>
      </c>
    </row>
    <row r="5" spans="7:15" ht="15" thickBot="1">
      <c r="G5" s="353" t="s">
        <v>158</v>
      </c>
      <c r="H5" s="208" t="str">
        <f>'素データ'!Y7</f>
        <v>A</v>
      </c>
      <c r="I5" s="112" t="str">
        <f>'素データ'!Y8</f>
        <v>B</v>
      </c>
      <c r="J5" s="106" t="str">
        <f>'素データ'!Y10</f>
        <v>D</v>
      </c>
      <c r="K5" s="107" t="str">
        <f>'素データ'!Y11</f>
        <v>E</v>
      </c>
      <c r="L5" s="142" t="str">
        <f>'素データ'!Y12</f>
        <v>F</v>
      </c>
      <c r="M5" s="207" t="str">
        <f>'素データ'!Y13</f>
        <v>G</v>
      </c>
      <c r="N5" s="361" t="str">
        <f>'素データ'!Y14</f>
        <v>H</v>
      </c>
      <c r="O5" s="108" t="str">
        <f>IF(AND(O2='スコア付き集計表'!AP20,O3='スコア付き集計表'!AQ20),"OK","NG")</f>
        <v>OK</v>
      </c>
    </row>
  </sheetData>
  <sheetProtection/>
  <mergeCells count="1">
    <mergeCell ref="B2:E4"/>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2"/>
  </sheetPr>
  <dimension ref="B2:O5"/>
  <sheetViews>
    <sheetView showGridLines="0" zoomScale="75" zoomScaleNormal="75" workbookViewId="0" topLeftCell="A1">
      <selection activeCell="J46" sqref="J46"/>
    </sheetView>
  </sheetViews>
  <sheetFormatPr defaultColWidth="8.796875" defaultRowHeight="15"/>
  <cols>
    <col min="1" max="1" width="2.09765625" style="0" customWidth="1"/>
    <col min="2" max="2" width="11" style="0" customWidth="1"/>
    <col min="7" max="7" width="9.8984375" style="0" customWidth="1"/>
    <col min="8" max="14" width="15.69921875" style="0" customWidth="1"/>
  </cols>
  <sheetData>
    <row r="1" ht="15" thickBot="1"/>
    <row r="2" spans="2:15" ht="21" customHeight="1">
      <c r="B2" s="727" t="str">
        <f>'素データ'!Z10</f>
        <v>クッパーズＪｒ</v>
      </c>
      <c r="C2" s="727"/>
      <c r="D2" s="727"/>
      <c r="E2" s="727"/>
      <c r="G2" s="352" t="s">
        <v>156</v>
      </c>
      <c r="H2" s="101">
        <f>SUM('スコア付き集計表'!F26:F31)</f>
        <v>9</v>
      </c>
      <c r="I2" s="102">
        <f>SUM('スコア付き集計表'!J26:J31)</f>
        <v>5</v>
      </c>
      <c r="J2" s="102">
        <f>SUM('スコア付き集計表'!N26:N31)</f>
        <v>11</v>
      </c>
      <c r="K2" s="102">
        <f>SUM('スコア付き集計表'!V26:V31)</f>
        <v>17</v>
      </c>
      <c r="L2" s="102">
        <f>SUM('スコア付き集計表'!Z26:Z31)</f>
        <v>40</v>
      </c>
      <c r="M2" s="102">
        <f>SUM('スコア付き集計表'!AD26:AD31)</f>
        <v>46</v>
      </c>
      <c r="N2" s="348">
        <f>SUM('スコア付き集計表'!AH26:AH31)</f>
        <v>0</v>
      </c>
      <c r="O2" s="209">
        <f>SUM(H2:N2)</f>
        <v>128</v>
      </c>
    </row>
    <row r="3" spans="2:15" ht="21.75" customHeight="1" thickBot="1">
      <c r="B3" s="727"/>
      <c r="C3" s="727"/>
      <c r="D3" s="727"/>
      <c r="E3" s="727"/>
      <c r="G3" s="353" t="s">
        <v>157</v>
      </c>
      <c r="H3" s="103">
        <f>SUM('スコア付き集計表'!H26:H31)</f>
        <v>18</v>
      </c>
      <c r="I3" s="104">
        <f>SUM('スコア付き集計表'!L26:L31)</f>
        <v>29</v>
      </c>
      <c r="J3" s="104">
        <f>SUM('スコア付き集計表'!P26:P31)</f>
        <v>22</v>
      </c>
      <c r="K3" s="104">
        <f>SUM('スコア付き集計表'!X26:X31)</f>
        <v>13</v>
      </c>
      <c r="L3" s="104">
        <f>SUM('スコア付き集計表'!AB26:AB31)</f>
        <v>5</v>
      </c>
      <c r="M3" s="104">
        <f>SUM('スコア付き集計表'!AF26:AF31)</f>
        <v>12</v>
      </c>
      <c r="N3" s="349">
        <f>SUM('スコア付き集計表'!AJ26:AJ31)</f>
        <v>0</v>
      </c>
      <c r="O3" s="210">
        <f>SUM(H3:N3)</f>
        <v>99</v>
      </c>
    </row>
    <row r="4" spans="2:15" ht="14.25" customHeight="1">
      <c r="B4" s="727"/>
      <c r="C4" s="727"/>
      <c r="D4" s="727"/>
      <c r="E4" s="727"/>
      <c r="G4" s="125" t="s">
        <v>155</v>
      </c>
      <c r="H4" s="354" t="str">
        <f>VLOOKUP(H5,'素データ'!$Y$7:$Z$14,2,FALSE)</f>
        <v>ファイターズＡ</v>
      </c>
      <c r="I4" s="342" t="str">
        <f>VLOOKUP(I5,'素データ'!$Y$7:$Z$14,2,FALSE)</f>
        <v>サンデーズＪｒＡ</v>
      </c>
      <c r="J4" s="362" t="str">
        <f>VLOOKUP(J5,'素データ'!$Y$7:$Z$14,2,FALSE)</f>
        <v>ファイターズＢ</v>
      </c>
      <c r="K4" s="357" t="str">
        <f>VLOOKUP(K5,'素データ'!$Y$7:$Z$14,2,FALSE)</f>
        <v>パイレーツ</v>
      </c>
      <c r="L4" s="358" t="str">
        <f>VLOOKUP(L5,'素データ'!$Y$7:$Z$14,2,FALSE)</f>
        <v>ベアーズ</v>
      </c>
      <c r="M4" s="359" t="str">
        <f>VLOOKUP(M5,'素データ'!$Y$7:$Z$14,2,FALSE)</f>
        <v>サンデーズＪｒＢ</v>
      </c>
      <c r="N4" s="360" t="str">
        <f>VLOOKUP(N5,'素データ'!$Y$7:$Z$14,2,FALSE)</f>
        <v>Dummy</v>
      </c>
      <c r="O4" s="109" t="s">
        <v>159</v>
      </c>
    </row>
    <row r="5" spans="7:15" ht="16.5" thickBot="1">
      <c r="G5" s="353" t="s">
        <v>158</v>
      </c>
      <c r="H5" s="276" t="str">
        <f>'素データ'!Y7</f>
        <v>A</v>
      </c>
      <c r="I5" s="277" t="str">
        <f>'素データ'!Y8</f>
        <v>B</v>
      </c>
      <c r="J5" s="271" t="str">
        <f>'素データ'!Y9</f>
        <v>C</v>
      </c>
      <c r="K5" s="273" t="str">
        <f>'素データ'!Y11</f>
        <v>E</v>
      </c>
      <c r="L5" s="274" t="str">
        <f>'素データ'!Y12</f>
        <v>F</v>
      </c>
      <c r="M5" s="275" t="str">
        <f>'素データ'!Y13</f>
        <v>G</v>
      </c>
      <c r="N5" s="351" t="str">
        <f>'素データ'!Y14</f>
        <v>H</v>
      </c>
      <c r="O5" s="108" t="str">
        <f>IF(AND(O2='スコア付き集計表'!AP26,O3='スコア付き集計表'!AQ26),"OK","NG")</f>
        <v>OK</v>
      </c>
    </row>
  </sheetData>
  <sheetProtection/>
  <mergeCells count="1">
    <mergeCell ref="B2:E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天野省吾</dc:creator>
  <cp:keywords/>
  <dc:description/>
  <cp:lastModifiedBy>showgod</cp:lastModifiedBy>
  <dcterms:created xsi:type="dcterms:W3CDTF">2007-11-15T01:35:42Z</dcterms:created>
  <dcterms:modified xsi:type="dcterms:W3CDTF">2018-11-04T05:44:22Z</dcterms:modified>
  <cp:category/>
  <cp:version/>
  <cp:contentType/>
  <cp:contentStatus/>
</cp:coreProperties>
</file>