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40" yWindow="32767" windowWidth="14990" windowHeight="12190" tabRatio="781" firstSheet="2" activeTab="2"/>
  </bookViews>
  <sheets>
    <sheet name="解説等" sheetId="1" r:id="rId1"/>
    <sheet name="利用法" sheetId="2" r:id="rId2"/>
    <sheet name="ゲーム差" sheetId="3" r:id="rId3"/>
    <sheet name="集計表" sheetId="4" r:id="rId4"/>
    <sheet name="スコア付き集計表" sheetId="5" r:id="rId5"/>
    <sheet name="得失Ａ" sheetId="6" r:id="rId6"/>
    <sheet name="得失Ｂ" sheetId="7" r:id="rId7"/>
    <sheet name="得失Ｃ" sheetId="8" r:id="rId8"/>
    <sheet name="得失Ｄ" sheetId="9" r:id="rId9"/>
    <sheet name="素データ" sheetId="10" r:id="rId10"/>
    <sheet name="日程検証用" sheetId="11" r:id="rId11"/>
    <sheet name="criteria" sheetId="12" r:id="rId12"/>
  </sheets>
  <definedNames>
    <definedName name="_xlnm.Print_Area" localSheetId="2">'ゲーム差'!$B$2:$L$20</definedName>
    <definedName name="_xlnm.Print_Area" localSheetId="4">'スコア付き集計表'!$A$2:$AB$52</definedName>
  </definedNames>
  <calcPr fullCalcOnLoad="1"/>
</workbook>
</file>

<file path=xl/comments10.xml><?xml version="1.0" encoding="utf-8"?>
<comments xmlns="http://schemas.openxmlformats.org/spreadsheetml/2006/main">
  <authors>
    <author>天野省吾</author>
    <author>showgod</author>
  </authors>
  <commentList>
    <comment ref="AB5" authorId="0">
      <text>
        <r>
          <rPr>
            <b/>
            <sz val="9"/>
            <rFont val="ＭＳ Ｐゴシック"/>
            <family val="3"/>
          </rPr>
          <t>天野省吾:</t>
        </r>
        <r>
          <rPr>
            <sz val="9"/>
            <rFont val="ＭＳ Ｐゴシック"/>
            <family val="3"/>
          </rPr>
          <t xml:space="preserve">
下記の場合に警告表示
１．チーム名重複
２．チーム名空白</t>
        </r>
      </text>
    </comment>
    <comment ref="V3" authorId="1">
      <text>
        <r>
          <rPr>
            <b/>
            <sz val="12"/>
            <rFont val="ＭＳ ゴシック"/>
            <family val="3"/>
          </rPr>
          <t>天野省吾
これも　私のアイデア
　　　　　↓
１試合分ずらしてある
ところがポイント</t>
        </r>
      </text>
    </comment>
    <comment ref="AD3" authorId="0">
      <text>
        <r>
          <rPr>
            <b/>
            <sz val="9"/>
            <rFont val="ＭＳ Ｐゴシック"/>
            <family val="3"/>
          </rPr>
          <t>天野省吾:</t>
        </r>
        <r>
          <rPr>
            <sz val="9"/>
            <rFont val="ＭＳ Ｐゴシック"/>
            <family val="3"/>
          </rPr>
          <t xml:space="preserve">
</t>
        </r>
        <r>
          <rPr>
            <b/>
            <sz val="9"/>
            <rFont val="ＭＳ ゴシック"/>
            <family val="3"/>
          </rPr>
          <t>私の一級品のアイデア
このブックのアイデアの原点</t>
        </r>
      </text>
    </comment>
    <comment ref="Y3" authorId="0">
      <text>
        <r>
          <rPr>
            <b/>
            <sz val="9"/>
            <rFont val="ＭＳ Ｐゴシック"/>
            <family val="3"/>
          </rPr>
          <t>天野省吾:</t>
        </r>
        <r>
          <rPr>
            <sz val="9"/>
            <rFont val="ＭＳ Ｐゴシック"/>
            <family val="3"/>
          </rPr>
          <t xml:space="preserve">
取り扱いの簡易化
</t>
        </r>
      </text>
    </comment>
  </commentList>
</comments>
</file>

<file path=xl/sharedStrings.xml><?xml version="1.0" encoding="utf-8"?>
<sst xmlns="http://schemas.openxmlformats.org/spreadsheetml/2006/main" count="1168" uniqueCount="469">
  <si>
    <t>Ａ</t>
  </si>
  <si>
    <t>試合数</t>
  </si>
  <si>
    <t>勝利</t>
  </si>
  <si>
    <t>敗戦</t>
  </si>
  <si>
    <t>引分</t>
  </si>
  <si>
    <t>勝率</t>
  </si>
  <si>
    <t>記号</t>
  </si>
  <si>
    <t>チーム表</t>
  </si>
  <si>
    <t>日付</t>
  </si>
  <si>
    <t>ビジター</t>
  </si>
  <si>
    <t>試合№</t>
  </si>
  <si>
    <t>変更実績</t>
  </si>
  <si>
    <t>対戦カード</t>
  </si>
  <si>
    <t>当初日程</t>
  </si>
  <si>
    <t>パターン</t>
  </si>
  <si>
    <t>検索キー</t>
  </si>
  <si>
    <t>A</t>
  </si>
  <si>
    <t>B</t>
  </si>
  <si>
    <t>C</t>
  </si>
  <si>
    <t>D</t>
  </si>
  <si>
    <t>E</t>
  </si>
  <si>
    <t>組合せ</t>
  </si>
  <si>
    <t>反転</t>
  </si>
  <si>
    <t>AB</t>
  </si>
  <si>
    <t>AC</t>
  </si>
  <si>
    <t>AD</t>
  </si>
  <si>
    <t>AE</t>
  </si>
  <si>
    <t>AF</t>
  </si>
  <si>
    <t>BC</t>
  </si>
  <si>
    <t>BD</t>
  </si>
  <si>
    <t>BE</t>
  </si>
  <si>
    <t>BF</t>
  </si>
  <si>
    <t>CE</t>
  </si>
  <si>
    <t>CF</t>
  </si>
  <si>
    <t>DA</t>
  </si>
  <si>
    <t>DB</t>
  </si>
  <si>
    <t>DC</t>
  </si>
  <si>
    <t>DE</t>
  </si>
  <si>
    <t>DF</t>
  </si>
  <si>
    <t>EA</t>
  </si>
  <si>
    <t>EB</t>
  </si>
  <si>
    <t>EC</t>
  </si>
  <si>
    <t>ED</t>
  </si>
  <si>
    <t>EF</t>
  </si>
  <si>
    <t>FA</t>
  </si>
  <si>
    <t>FB</t>
  </si>
  <si>
    <t>FC</t>
  </si>
  <si>
    <t>FD</t>
  </si>
  <si>
    <t>FE</t>
  </si>
  <si>
    <t>組合せパターン表</t>
  </si>
  <si>
    <t>N</t>
  </si>
  <si>
    <t>Y</t>
  </si>
  <si>
    <t>順位</t>
  </si>
  <si>
    <t>○</t>
  </si>
  <si>
    <t>●</t>
  </si>
  <si>
    <t>試合結果</t>
  </si>
  <si>
    <t>結果表示反転表</t>
  </si>
  <si>
    <t>△</t>
  </si>
  <si>
    <t>順表示</t>
  </si>
  <si>
    <t>反転表示</t>
  </si>
  <si>
    <t>集計表 表示用</t>
  </si>
  <si>
    <t>記号Ａ</t>
  </si>
  <si>
    <t>得点Ａ</t>
  </si>
  <si>
    <t>記号Ｂ</t>
  </si>
  <si>
    <t>得点Ｂ</t>
  </si>
  <si>
    <t>検算部</t>
  </si>
  <si>
    <t>主催チーム</t>
  </si>
  <si>
    <t>主催チーム
から見た</t>
  </si>
  <si>
    <t>チーム名</t>
  </si>
  <si>
    <t>………</t>
  </si>
  <si>
    <t>主催時用</t>
  </si>
  <si>
    <t>ビジター時用</t>
  </si>
  <si>
    <t>当様式作成の動機</t>
  </si>
  <si>
    <t>様式作成上の着想</t>
  </si>
  <si>
    <t>（１）</t>
  </si>
  <si>
    <t>リーグ戦勝敗表の構造</t>
  </si>
  <si>
    <t>（２）</t>
  </si>
  <si>
    <t>リーグ戦勝敗表の構成</t>
  </si>
  <si>
    <t>①　チーム名表示領域</t>
  </si>
  <si>
    <t>②　対戦結果表示領域</t>
  </si>
  <si>
    <t>①　主催チームとビジターチーム</t>
  </si>
  <si>
    <t>②　具体化のアイデア</t>
  </si>
  <si>
    <t>　　リーグ戦としての全ての試合を序列の上位チームから見た結果として統一し</t>
  </si>
  <si>
    <t>の部分を確定してから、それを反転して</t>
  </si>
  <si>
    <t>　　序列の下位チームから見たもの</t>
  </si>
  <si>
    <t>　　※当初、１つの試合結果をもとに『主催チーム用レコード』、『ビジターチーム用レコード』と２つのレコードを生成して加工</t>
  </si>
  <si>
    <t>関数の使用</t>
  </si>
  <si>
    <t>IF</t>
  </si>
  <si>
    <t>COUNTIF</t>
  </si>
  <si>
    <t>VLOOKUP</t>
  </si>
  <si>
    <t>DCOUNTA</t>
  </si>
  <si>
    <t>SUM</t>
  </si>
  <si>
    <t>方針</t>
  </si>
  <si>
    <t>・入力項目を可能な限り減らすこと。</t>
  </si>
  <si>
    <t>具体化策</t>
  </si>
  <si>
    <t>（３）</t>
  </si>
  <si>
    <t>検証</t>
  </si>
  <si>
    <t>（４）</t>
  </si>
  <si>
    <t>値の結合</t>
  </si>
  <si>
    <t>条件判定（値の検査）</t>
  </si>
  <si>
    <t>値の集計</t>
  </si>
  <si>
    <t>ある値を手がかりにした検索で対応する値を取得</t>
  </si>
  <si>
    <t>レコード内の他のセルに特定の値をもつレコードの計数………クライテリア（シート名：criteria）使用</t>
  </si>
  <si>
    <t>様式の改造</t>
  </si>
  <si>
    <t>①　対戦結果表示領域の修正</t>
  </si>
  <si>
    <t>　　まず、</t>
  </si>
  <si>
    <t>　　結果については</t>
  </si>
  <si>
    <t>様式のカスタマイズ</t>
  </si>
  <si>
    <t>シート名</t>
  </si>
  <si>
    <t>カスタマイズ対象</t>
  </si>
  <si>
    <t>集計表</t>
  </si>
  <si>
    <t>素データ</t>
  </si>
  <si>
    <t>チーム表内のチーム名</t>
  </si>
  <si>
    <t>②　リーグ戦勝敗表の本体の修正（前項以外）</t>
  </si>
  <si>
    <t>修正対象</t>
  </si>
  <si>
    <t>１．</t>
  </si>
  <si>
    <t>２．</t>
  </si>
  <si>
    <t>３．</t>
  </si>
  <si>
    <t>特定の値をもつセルの計数</t>
  </si>
  <si>
    <t>◇</t>
  </si>
  <si>
    <t>・様式使用上の誤りを排除するため、可能な限りの『入力値チェック』を行うこと。</t>
  </si>
  <si>
    <t>　　総当たりを複数回行うリーグ戦では、その公平さを期するため「使用するベンチや先攻／後攻」を各チームに均等に割り振る。</t>
  </si>
  <si>
    <r>
      <t>　　　</t>
    </r>
    <r>
      <rPr>
        <b/>
        <sz val="12"/>
        <rFont val="ＭＳ ゴシック"/>
        <family val="3"/>
      </rPr>
      <t>（</t>
    </r>
  </si>
  <si>
    <t>　　・実力伯仲（実力の抜きんでたチームがなくドングリの背比べ）</t>
  </si>
  <si>
    <t>　　・順当（各チームの序列に相応した実績となっている）</t>
  </si>
  <si>
    <t>現実と理論</t>
  </si>
  <si>
    <r>
      <t>　　その結果として、リーグ戦の試合日程上では</t>
    </r>
    <r>
      <rPr>
        <b/>
        <sz val="12"/>
        <rFont val="ＭＳ ゴシック"/>
        <family val="3"/>
      </rPr>
      <t>『チームＡ対チームＢ』、『チームＢ対チームＡ』</t>
    </r>
    <r>
      <rPr>
        <sz val="12"/>
        <rFont val="ＭＳ ゴシック"/>
        <family val="3"/>
      </rPr>
      <t>と異なって表記されることに</t>
    </r>
  </si>
  <si>
    <t>様式の作成に関する補足等</t>
  </si>
  <si>
    <t>反転有無</t>
  </si>
  <si>
    <t>得点</t>
  </si>
  <si>
    <t>失点</t>
  </si>
  <si>
    <t>得点表示</t>
  </si>
  <si>
    <t>上位チーム</t>
  </si>
  <si>
    <t>下位チーム</t>
  </si>
  <si>
    <t>表示用加工部</t>
  </si>
  <si>
    <r>
      <t>上位から見た</t>
    </r>
    <r>
      <rPr>
        <sz val="12"/>
        <rFont val="ＭＳ ゴシック"/>
        <family val="3"/>
      </rPr>
      <t xml:space="preserve">
結果表示</t>
    </r>
  </si>
  <si>
    <t>エラー表示</t>
  </si>
  <si>
    <t>③　参考（リーグ戦の概況の把握：「スコア表示なし」の集計表）</t>
  </si>
  <si>
    <t>各 集計表</t>
  </si>
  <si>
    <t>無修正での利用法は、下記のとおりです。</t>
  </si>
  <si>
    <t>１．準備作業</t>
  </si>
  <si>
    <t>チームの登録</t>
  </si>
  <si>
    <t>ここで入力した「チーム名」が他のシート等で引用されます。</t>
  </si>
  <si>
    <t>大会日程の登録</t>
  </si>
  <si>
    <t>　　（１）</t>
  </si>
  <si>
    <t>実績の登録</t>
  </si>
  <si>
    <t>なお、変更実績は、日程に変更があった場合に限って実際の暦日や試合№を入力します。</t>
  </si>
  <si>
    <t>　　（２）</t>
  </si>
  <si>
    <t>進行状況の参照</t>
  </si>
  <si>
    <t>（５）</t>
  </si>
  <si>
    <t>二次的な特長</t>
  </si>
  <si>
    <t>個々の対戦カードに関して、その結果の表示位置は「集計表」シート内では固定ですが「素データ」シート内での位置では不問です。</t>
  </si>
  <si>
    <r>
      <t>これは、「集計表」シート内に対戦結果を表示する際に『</t>
    </r>
    <r>
      <rPr>
        <b/>
        <sz val="12"/>
        <rFont val="ＭＳ ゴシック"/>
        <family val="3"/>
      </rPr>
      <t>対応する値を検索して表示する</t>
    </r>
    <r>
      <rPr>
        <sz val="12"/>
        <rFont val="ＭＳ ゴシック"/>
        <family val="3"/>
      </rPr>
      <t>』ことによります。</t>
    </r>
  </si>
  <si>
    <t>大会の日程が決まった時点で「素データ」表の当初日程（暦日や試合№）と対戦カード（対戦チームの略称）を入力します。</t>
  </si>
  <si>
    <t>日程の進行にあわせで、対戦実績を入力します（「素データ」表の対戦カード（得点Ａと得点Ｂ）を入力します。）</t>
  </si>
  <si>
    <t>対戦チーム</t>
  </si>
  <si>
    <t>得　点</t>
  </si>
  <si>
    <t>失　点</t>
  </si>
  <si>
    <t>記　号</t>
  </si>
  <si>
    <t>確　認</t>
  </si>
  <si>
    <t>№</t>
  </si>
  <si>
    <t>各 得失表</t>
  </si>
  <si>
    <t>得失点表</t>
  </si>
  <si>
    <t>５．</t>
  </si>
  <si>
    <t>６．</t>
  </si>
  <si>
    <t>４．</t>
  </si>
  <si>
    <t>構成シート一覧表</t>
  </si>
  <si>
    <t>シートの概要</t>
  </si>
  <si>
    <t>取り扱い区分</t>
  </si>
  <si>
    <t>解説等</t>
  </si>
  <si>
    <t>利用法</t>
  </si>
  <si>
    <t>スコア付き集計表</t>
  </si>
  <si>
    <t>得失Ａ</t>
  </si>
  <si>
    <t>得失Ｂ</t>
  </si>
  <si>
    <t>得失Ｃ</t>
  </si>
  <si>
    <t>得失Ｄ</t>
  </si>
  <si>
    <t>得失Ｅ</t>
  </si>
  <si>
    <t>得失Ｆ</t>
  </si>
  <si>
    <t>criteria</t>
  </si>
  <si>
    <t>表示専用</t>
  </si>
  <si>
    <t>原始データ入力用</t>
  </si>
  <si>
    <t>〃</t>
  </si>
  <si>
    <t>③　得失点シートの追加</t>
  </si>
  <si>
    <t>④　表のレコードの追加</t>
  </si>
  <si>
    <t>⑤　修正分に関わる関数や入力規則（選択項目関係）の修正（素データ表）</t>
  </si>
  <si>
    <t>このシート</t>
  </si>
  <si>
    <t>「準備～利用」の作業について説明</t>
  </si>
  <si>
    <t>リーグ戦の勝敗表</t>
  </si>
  <si>
    <t>リーグ戦の勝敗表（試合のスコア、得失点付き）</t>
  </si>
  <si>
    <t>Ａチームの得失点表とグラフ</t>
  </si>
  <si>
    <t>Ｂチームの　　　〃</t>
  </si>
  <si>
    <t>Ｃチームの　　　〃</t>
  </si>
  <si>
    <t>Ｄチームの　　　〃</t>
  </si>
  <si>
    <t>Ｅチームの　　　〃</t>
  </si>
  <si>
    <t>Ｆチームの　　　〃</t>
  </si>
  <si>
    <t>得失点の検算処理で、集計対象を定義したもの</t>
  </si>
  <si>
    <t>リーグ戦の日程や実績を入力するためのシート</t>
  </si>
  <si>
    <t>　　（２）</t>
  </si>
  <si>
    <t>　　（３）</t>
  </si>
  <si>
    <t>　　（１）</t>
  </si>
  <si>
    <t>サンプルデータの消去</t>
  </si>
  <si>
    <t>当初は『サンプルデータなし』でしたが、利用イメージの把握し易さを考え敢えてサンプルデータを設定しました。</t>
  </si>
  <si>
    <t>サンプルデータは下記のとおりです（何れも『素データ』のシート内）。</t>
  </si>
  <si>
    <t>・当初日程（日付、試合№）</t>
  </si>
  <si>
    <t>・対戦カード（略称Ａ、得点Ａ、略称Ｂ、得点Ｂ）</t>
  </si>
  <si>
    <t>・チーム名</t>
  </si>
  <si>
    <t>【注意】それぞれのセルには、『条件付き書式』や『入力規則』を設定してありますので、消去せぬようご注意下さい。</t>
  </si>
  <si>
    <t>『素データ』シートのチーム表にチーム名を入力します。</t>
  </si>
  <si>
    <t>２．利　用</t>
  </si>
  <si>
    <t>『集計表』や『スコア付き集計表』、『得失Ａ』～『得失Ｆ』のシートを参照します。</t>
  </si>
  <si>
    <t>◆この様式を利用下さる皆様と情報交流を致したく、敢えてそれぞれのシートに保護を設定しました。</t>
  </si>
  <si>
    <t>　下記宛のお便りをお待ち申し上げます。</t>
  </si>
  <si>
    <t>　　empereur@infoseek.jp</t>
  </si>
  <si>
    <t>2007.12.02 天野省吾</t>
  </si>
  <si>
    <t>少年野球のリーグ戦において、その進行に対して『目で見る管理』を導入したいことにありました。</t>
  </si>
  <si>
    <t>リーグ戦勝敗表の構造は、概ね下記のとおりです。</t>
  </si>
  <si>
    <t>リーグ戦勝敗表の構成は、概ね下記のとおりです。</t>
  </si>
  <si>
    <t>　　チーム名の表示に使用される。この領域内での各チームの序列は、概ね前年度実績によります。</t>
  </si>
  <si>
    <t>　　この領域には、『○（勝利）や●（敗北）、△（引き分け）』を表示、領域自体は下記のように区分されます。</t>
  </si>
  <si>
    <t>………前記リーグ戦勝敗表で、この部分は序列の上位チームから見た対戦結果の表示に使用されます。</t>
  </si>
  <si>
    <t>………前記リーグ戦勝敗表で、この部分は序列の下位チームから見た対戦結果の表示に使用されます。</t>
  </si>
  <si>
    <t>　　従って、前記の２つの領域の表示内容は、互いに反対の結果を表示することになります。</t>
  </si>
  <si>
    <t>………前記リーグ戦勝敗表で、この部分が『白く見えるほど』その程度が高いと言えます。</t>
  </si>
  <si>
    <r>
      <t>………前記リーグ戦勝敗表で、この部分が『黒く見えるほど』その程度が高いと言えます。</t>
    </r>
    <r>
      <rPr>
        <b/>
        <sz val="12"/>
        <rFont val="ＭＳ ゴシック"/>
        <family val="3"/>
      </rPr>
      <t>）</t>
    </r>
  </si>
  <si>
    <t>　　　対戦結果表示領域全体が『灰色に見えるほど』その程度が高いと言えます。</t>
  </si>
  <si>
    <r>
      <t>　　なりますが、それらは</t>
    </r>
    <r>
      <rPr>
        <b/>
        <sz val="12"/>
        <rFont val="ＭＳ ゴシック"/>
        <family val="3"/>
      </rPr>
      <t>同一の対戦カード</t>
    </r>
    <r>
      <rPr>
        <sz val="12"/>
        <rFont val="ＭＳ ゴシック"/>
        <family val="3"/>
      </rPr>
      <t>であることをご理解下さい。</t>
    </r>
  </si>
  <si>
    <t>とするアイデアにたどり着きました。</t>
  </si>
  <si>
    <t>　　　する方法を考えましたが、よりシンプルさと簡易化を追求した結果として前記のアイデアの採用に至りました。</t>
  </si>
  <si>
    <t>前記の事項を実現するため、『条件付き書式』や『入力規則』を多用しました。</t>
  </si>
  <si>
    <t>また、関数により他の項目値を手がかりにした表示方法も多用しました。</t>
  </si>
  <si>
    <t>様式自体でその正しさを検証する仕組みを設定しました（検算部）。</t>
  </si>
  <si>
    <t>下記の関数を使用しています。</t>
  </si>
  <si>
    <t>無修正での利用であっても、下記の部分についてはそのカスタマイズが必要です。</t>
  </si>
  <si>
    <t>その利用上で所属チームの追加等の改造が必要な場合は、下記の手順での処置を推奨します。</t>
  </si>
  <si>
    <t>の部分を関数を含めて修正します。</t>
  </si>
  <si>
    <t>の部分に『○、●、△』を手入力することで確認可能。</t>
  </si>
  <si>
    <t>　　下記の各表に必要なレコードを追加します。</t>
  </si>
  <si>
    <t>　　また、クライテリアについては、対応するチームのクライテリアを追加します。</t>
  </si>
  <si>
    <t>⑥　その完成については、『検算部』にて確認可能です（改造に誤りがなければテストデータを入力すると全てOK表示となる）。</t>
  </si>
  <si>
    <t>RANK</t>
  </si>
  <si>
    <t>範囲内で何番目の大きさであるかを判定</t>
  </si>
  <si>
    <t>【補足】当初２つのグラフを重ねようとしましたが、凡例が２つのグラフに連動せず各要素の塗りつぶしの色を自由に制御できないため、これを断念しました。</t>
  </si>
  <si>
    <t xml:space="preserve"> </t>
  </si>
  <si>
    <t>AND</t>
  </si>
  <si>
    <t>並立条件の定義</t>
  </si>
  <si>
    <t>CONCATENATE ……</t>
  </si>
  <si>
    <t>OR</t>
  </si>
  <si>
    <t>択一条件の定義</t>
  </si>
  <si>
    <t>実績：</t>
  </si>
  <si>
    <t>完了</t>
  </si>
  <si>
    <t>→ シーズン完了表示用</t>
  </si>
  <si>
    <t>ゲーム差
整列用</t>
  </si>
  <si>
    <t>整列基準</t>
  </si>
  <si>
    <t>ROUND</t>
  </si>
  <si>
    <t>商の四捨五入を伴う除算</t>
  </si>
  <si>
    <t>ゲーム差</t>
  </si>
  <si>
    <t>実績が上位のチームとの差の目安</t>
  </si>
  <si>
    <t>チーム名</t>
  </si>
  <si>
    <t>勝ち差</t>
  </si>
  <si>
    <t>－</t>
  </si>
  <si>
    <t>LARGE</t>
  </si>
  <si>
    <t>数値群の中で、ｎ番目に大きな値の抽出</t>
  </si>
  <si>
    <t>【ご注意】</t>
  </si>
  <si>
    <t>=Ａ＋Ｂ＋Ｃ</t>
  </si>
  <si>
    <t>：勝率（ゲーム差表示の序列のベース）</t>
  </si>
  <si>
    <t>Ｂ</t>
  </si>
  <si>
    <t>：勝敗差（ゲーム差表示の序列の補正）</t>
  </si>
  <si>
    <t>Ｃ</t>
  </si>
  <si>
    <t>：識別値（ゲーム差表示の序列の補正）→　勝率が同一、勝敗差も同一の場合の識別用</t>
  </si>
  <si>
    <t>２．リーグ戦での個々のチームの序列（成績順）には、『勝率』をその基準の指標として用います。</t>
  </si>
  <si>
    <t>　　の指標として用いています。</t>
  </si>
  <si>
    <t>３．『ゲーム差がマイナス表示』になった場合は、「ゲーム差表」の欠点に相当する事象が発生して</t>
  </si>
  <si>
    <t>　　いることを示します。</t>
  </si>
  <si>
    <t>　　これは、前二者の指標がそれぞれ別（一方が勝敗差、他方が勝率）であることに起因します。</t>
  </si>
  <si>
    <t>４．『ゲーム差』の値は、あくまでも目安としてご理解下さい（前記３．のケースは目安にもならず）。</t>
  </si>
  <si>
    <t>１．『ゲーム差』は、上位のチームとの成績差を簡略的に把握する為に使用され、『勝敗差』を基準</t>
  </si>
  <si>
    <t>F</t>
  </si>
  <si>
    <t>G</t>
  </si>
  <si>
    <t>H</t>
  </si>
  <si>
    <t>AG</t>
  </si>
  <si>
    <t>AH</t>
  </si>
  <si>
    <t>BA</t>
  </si>
  <si>
    <t>BG</t>
  </si>
  <si>
    <t>BH</t>
  </si>
  <si>
    <t>AB</t>
  </si>
  <si>
    <t>Y</t>
  </si>
  <si>
    <t>N</t>
  </si>
  <si>
    <t>CA</t>
  </si>
  <si>
    <t>CB</t>
  </si>
  <si>
    <t>CD</t>
  </si>
  <si>
    <t>CG</t>
  </si>
  <si>
    <t>CH</t>
  </si>
  <si>
    <t>AC</t>
  </si>
  <si>
    <t>DG</t>
  </si>
  <si>
    <t>DH</t>
  </si>
  <si>
    <t>AD</t>
  </si>
  <si>
    <t>BD</t>
  </si>
  <si>
    <t>EG</t>
  </si>
  <si>
    <t>EH</t>
  </si>
  <si>
    <t>AE</t>
  </si>
  <si>
    <t>BE</t>
  </si>
  <si>
    <t>CE</t>
  </si>
  <si>
    <t>DE</t>
  </si>
  <si>
    <t>FG</t>
  </si>
  <si>
    <t>FH</t>
  </si>
  <si>
    <t>AF</t>
  </si>
  <si>
    <t>BF</t>
  </si>
  <si>
    <t>CF</t>
  </si>
  <si>
    <t>DF</t>
  </si>
  <si>
    <t>EF</t>
  </si>
  <si>
    <t>GA</t>
  </si>
  <si>
    <t>GB</t>
  </si>
  <si>
    <t>GC</t>
  </si>
  <si>
    <t>GD</t>
  </si>
  <si>
    <t>GE</t>
  </si>
  <si>
    <t>GF</t>
  </si>
  <si>
    <t>GH</t>
  </si>
  <si>
    <t>BG</t>
  </si>
  <si>
    <t>CG</t>
  </si>
  <si>
    <t>DG</t>
  </si>
  <si>
    <t>EG</t>
  </si>
  <si>
    <t>FG</t>
  </si>
  <si>
    <t>GH</t>
  </si>
  <si>
    <t>HA</t>
  </si>
  <si>
    <t>HB</t>
  </si>
  <si>
    <t>HC</t>
  </si>
  <si>
    <t>HD</t>
  </si>
  <si>
    <t>HE</t>
  </si>
  <si>
    <t>HF</t>
  </si>
  <si>
    <t>HG</t>
  </si>
  <si>
    <t>CH</t>
  </si>
  <si>
    <t>DH</t>
  </si>
  <si>
    <t>EH</t>
  </si>
  <si>
    <t>FH</t>
  </si>
  <si>
    <t>合　計</t>
  </si>
  <si>
    <t>素データ計</t>
  </si>
  <si>
    <t>三者は共に同値になるのが正しい。</t>
  </si>
  <si>
    <t>→勝ちチームの得点は負けチームの失点となるため、集計値は２倍になっている。</t>
  </si>
  <si>
    <t>　同様に、勝ちチームの失点は負けチームの得点となる。</t>
  </si>
  <si>
    <t>先攻数</t>
  </si>
  <si>
    <t>後攻数</t>
  </si>
  <si>
    <t>【第１回戦】</t>
  </si>
  <si>
    <t>AB</t>
  </si>
  <si>
    <t>BC</t>
  </si>
  <si>
    <t>AC</t>
  </si>
  <si>
    <t>DB</t>
  </si>
  <si>
    <t>DC</t>
  </si>
  <si>
    <t>CB</t>
  </si>
  <si>
    <t>DA</t>
  </si>
  <si>
    <t>(初期入力)</t>
  </si>
  <si>
    <t>ｎ回戦</t>
  </si>
  <si>
    <t>対戦カード目視検証部</t>
  </si>
  <si>
    <t>【割付数検証部】</t>
  </si>
  <si>
    <t>(抽出)</t>
  </si>
  <si>
    <t>(等価表示)</t>
  </si>
  <si>
    <t>(合成)</t>
  </si>
  <si>
    <t>(分解)</t>
  </si>
  <si>
    <t>(判定)</t>
  </si>
  <si>
    <t>(編集)</t>
  </si>
  <si>
    <t>(表示：検索)</t>
  </si>
  <si>
    <t>日程消化状況表示用</t>
  </si>
  <si>
    <t>大会日程</t>
  </si>
  <si>
    <t>実績未入力</t>
  </si>
  <si>
    <t>試合数合計</t>
  </si>
  <si>
    <t>A</t>
  </si>
  <si>
    <t>B</t>
  </si>
  <si>
    <t>C</t>
  </si>
  <si>
    <t>D</t>
  </si>
  <si>
    <t>E</t>
  </si>
  <si>
    <t>G</t>
  </si>
  <si>
    <t>H</t>
  </si>
  <si>
    <t>○○１</t>
  </si>
  <si>
    <t>AD</t>
  </si>
  <si>
    <t>【第２回戦】</t>
  </si>
  <si>
    <t>素データ部</t>
  </si>
  <si>
    <t>A列複写</t>
  </si>
  <si>
    <t>○○２</t>
  </si>
  <si>
    <t>№</t>
  </si>
  <si>
    <t>01</t>
  </si>
  <si>
    <t>02</t>
  </si>
  <si>
    <t>03</t>
  </si>
  <si>
    <t>04</t>
  </si>
  <si>
    <t>05</t>
  </si>
  <si>
    <t>07</t>
  </si>
  <si>
    <t>08</t>
  </si>
  <si>
    <t>09</t>
  </si>
  <si>
    <t>06</t>
  </si>
  <si>
    <t>【第３回戦】</t>
  </si>
  <si>
    <t>【第４回戦】</t>
  </si>
  <si>
    <t>【第５回戦】</t>
  </si>
  <si>
    <t>第１試合～第６試合→</t>
  </si>
  <si>
    <t>第７試合～第１２試合→</t>
  </si>
  <si>
    <t>第１３試合～第１８試合→</t>
  </si>
  <si>
    <t>第１９試合～第２４試合→</t>
  </si>
  <si>
    <t>第２５試合～第３０試合→</t>
  </si>
  <si>
    <t>○○３</t>
  </si>
  <si>
    <t>○○４</t>
  </si>
  <si>
    <t>○○５</t>
  </si>
  <si>
    <t>Empty_A</t>
  </si>
  <si>
    <t>Empty_B</t>
  </si>
  <si>
    <t>Empty_C</t>
  </si>
  <si>
    <t>Empty_D</t>
  </si>
  <si>
    <t>初期日程</t>
  </si>
  <si>
    <t>（表示項目）</t>
  </si>
  <si>
    <t>（表示項目）</t>
  </si>
  <si>
    <t>日</t>
  </si>
  <si>
    <t>大会 第</t>
  </si>
  <si>
    <t>ホーム（一塁側）</t>
  </si>
  <si>
    <t>ビジター（三塁側）</t>
  </si>
  <si>
    <t>通 番</t>
  </si>
  <si>
    <t>試合日程</t>
  </si>
  <si>
    <t>新規日程</t>
  </si>
  <si>
    <t>文字</t>
  </si>
  <si>
    <t>数値</t>
  </si>
  <si>
    <t>形式変換</t>
  </si>
  <si>
    <t>01</t>
  </si>
  <si>
    <t>02</t>
  </si>
  <si>
    <t>03</t>
  </si>
  <si>
    <t>04</t>
  </si>
  <si>
    <t>05</t>
  </si>
  <si>
    <t>06</t>
  </si>
  <si>
    <t>07</t>
  </si>
  <si>
    <t>08</t>
  </si>
  <si>
    <t>09</t>
  </si>
  <si>
    <t>(入力項目)</t>
  </si>
  <si>
    <t>実表記</t>
  </si>
  <si>
    <t>等価表記</t>
  </si>
  <si>
    <t>加工補助部</t>
  </si>
  <si>
    <t>N</t>
  </si>
  <si>
    <t>Y</t>
  </si>
  <si>
    <t>Y</t>
  </si>
  <si>
    <t>チームＡ</t>
  </si>
  <si>
    <t>チームＢ</t>
  </si>
  <si>
    <t>チームＢ</t>
  </si>
  <si>
    <t>チームＡ</t>
  </si>
  <si>
    <t>試合結果　→</t>
  </si>
  <si>
    <t>全て「チームＡ」から見てのもの</t>
  </si>
  <si>
    <t>勝ち</t>
  </si>
  <si>
    <t>負け</t>
  </si>
  <si>
    <t>サンデーズＪｒ</t>
  </si>
  <si>
    <t>エンジェルス</t>
  </si>
  <si>
    <t>ベアーズ</t>
  </si>
  <si>
    <t>リーグ戦実績表（４チーム総当たり５回）</t>
  </si>
  <si>
    <t>ディアス</t>
  </si>
  <si>
    <t>８チーム用がベースにつき、
４チーム用として無用の部分</t>
  </si>
  <si>
    <t>先攻</t>
  </si>
  <si>
    <t>後攻</t>
  </si>
  <si>
    <t>個々の数値の極端な差は
Ｂチーム扱いの分に起因</t>
  </si>
  <si>
    <t>◇</t>
  </si>
  <si>
    <t>=Ａ＋Ｂ＋Ｃ</t>
  </si>
  <si>
    <t>Ａ</t>
  </si>
  <si>
    <t>Ｂ</t>
  </si>
  <si>
    <t>Ｃ</t>
  </si>
  <si>
    <t>リーグ戦実績表（４チーム総当たり5回）</t>
  </si>
  <si>
    <t>CD</t>
  </si>
  <si>
    <t>CA</t>
  </si>
  <si>
    <t>BA</t>
  </si>
  <si>
    <t>BD</t>
  </si>
  <si>
    <t>a</t>
  </si>
  <si>
    <t>b</t>
  </si>
  <si>
    <t>c</t>
  </si>
  <si>
    <t>e</t>
  </si>
  <si>
    <t>d</t>
  </si>
  <si>
    <t>ディアス</t>
  </si>
  <si>
    <t>ベアーズ</t>
  </si>
  <si>
    <t>エンジェルス</t>
  </si>
  <si>
    <t>サンデーズＪｒ</t>
  </si>
  <si>
    <t>第３８回大会では排除</t>
  </si>
  <si>
    <t>ここだけ入力　(1～15)</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</si>
</sst>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m&quot;月&quot;dd&quot;日&quot;"/>
    <numFmt numFmtId="179" formatCode="0.0000_ "/>
    <numFmt numFmtId="180" formatCode="0.0_ "/>
    <numFmt numFmtId="181" formatCode="0.000000_ "/>
    <numFmt numFmtId="182" formatCode="mmm\-yyyy"/>
    <numFmt numFmtId="183" formatCode="[$]ggge&quot;年&quot;m&quot;月&quot;d&quot;日&quot;;@"/>
    <numFmt numFmtId="184" formatCode="[$-411]gge&quot;年&quot;m&quot;月&quot;d&quot;日&quot;;@"/>
    <numFmt numFmtId="185" formatCode="[$]gge&quot;年&quot;m&quot;月&quot;d&quot;日&quot;;@"/>
  </numFmts>
  <fonts count="83">
    <font>
      <sz val="12"/>
      <name val="ＭＳ ゴシック"/>
      <family val="3"/>
    </font>
    <font>
      <sz val="6"/>
      <name val="ＭＳ ゴシック"/>
      <family val="3"/>
    </font>
    <font>
      <sz val="10"/>
      <name val="ＭＳ ゴシック"/>
      <family val="3"/>
    </font>
    <font>
      <b/>
      <sz val="12"/>
      <name val="ＭＳ ゴシック"/>
      <family val="3"/>
    </font>
    <font>
      <b/>
      <sz val="12"/>
      <color indexed="10"/>
      <name val="ＭＳ ゴシック"/>
      <family val="3"/>
    </font>
    <font>
      <sz val="8"/>
      <name val="ＭＳ ゴシック"/>
      <family val="3"/>
    </font>
    <font>
      <sz val="9"/>
      <name val="ＭＳ Ｐゴシック"/>
      <family val="3"/>
    </font>
    <font>
      <b/>
      <sz val="9"/>
      <name val="ＭＳ Ｐゴシック"/>
      <family val="3"/>
    </font>
    <font>
      <sz val="14"/>
      <name val="ＭＳ ゴシック"/>
      <family val="3"/>
    </font>
    <font>
      <b/>
      <sz val="14"/>
      <color indexed="10"/>
      <name val="ＭＳ ゴシック"/>
      <family val="3"/>
    </font>
    <font>
      <b/>
      <sz val="14"/>
      <name val="ＭＳ ゴシック"/>
      <family val="3"/>
    </font>
    <font>
      <sz val="20"/>
      <name val="ＭＳ ゴシック"/>
      <family val="3"/>
    </font>
    <font>
      <sz val="18"/>
      <name val="ＭＳ ゴシック"/>
      <family val="3"/>
    </font>
    <font>
      <sz val="12"/>
      <color indexed="9"/>
      <name val="ＭＳ ゴシック"/>
      <family val="3"/>
    </font>
    <font>
      <sz val="18"/>
      <color indexed="9"/>
      <name val="ＭＳ ゴシック"/>
      <family val="3"/>
    </font>
    <font>
      <sz val="16"/>
      <name val="ＭＳ ゴシック"/>
      <family val="3"/>
    </font>
    <font>
      <b/>
      <sz val="12"/>
      <color indexed="9"/>
      <name val="ＭＳ ゴシック"/>
      <family val="3"/>
    </font>
    <font>
      <sz val="36"/>
      <name val="ＭＳ ゴシック"/>
      <family val="3"/>
    </font>
    <font>
      <sz val="36"/>
      <color indexed="9"/>
      <name val="ＭＳ ゴシック"/>
      <family val="3"/>
    </font>
    <font>
      <sz val="10"/>
      <color indexed="9"/>
      <name val="ＭＳ ゴシック"/>
      <family val="3"/>
    </font>
    <font>
      <sz val="9"/>
      <name val="ＭＳ ゴシック"/>
      <family val="3"/>
    </font>
    <font>
      <b/>
      <sz val="11"/>
      <color indexed="10"/>
      <name val="ＭＳ ゴシック"/>
      <family val="3"/>
    </font>
    <font>
      <b/>
      <sz val="8"/>
      <color indexed="10"/>
      <name val="ＭＳ ゴシック"/>
      <family val="3"/>
    </font>
    <font>
      <b/>
      <sz val="9"/>
      <name val="ＭＳ ゴシック"/>
      <family val="3"/>
    </font>
    <font>
      <sz val="9"/>
      <color indexed="12"/>
      <name val="ＭＳ ゴシック"/>
      <family val="3"/>
    </font>
    <font>
      <sz val="11"/>
      <name val="ＭＳ ゴシック"/>
      <family val="3"/>
    </font>
    <font>
      <sz val="12"/>
      <color indexed="13"/>
      <name val="ＭＳ ゴシック"/>
      <family val="3"/>
    </font>
    <font>
      <sz val="16"/>
      <color indexed="11"/>
      <name val="ＭＳ ゴシック"/>
      <family val="3"/>
    </font>
    <font>
      <sz val="6"/>
      <color indexed="43"/>
      <name val="ＭＳ ゴシック"/>
      <family val="3"/>
    </font>
    <font>
      <b/>
      <sz val="12"/>
      <color indexed="12"/>
      <name val="ＭＳ ゴシック"/>
      <family val="3"/>
    </font>
    <font>
      <sz val="12"/>
      <color indexed="12"/>
      <name val="ＭＳ ゴシック"/>
      <family val="3"/>
    </font>
    <font>
      <sz val="16"/>
      <color indexed="9"/>
      <name val="ＭＳ ゴシック"/>
      <family val="3"/>
    </font>
    <font>
      <sz val="12"/>
      <color indexed="43"/>
      <name val="ＭＳ ゴシック"/>
      <family val="3"/>
    </font>
    <font>
      <sz val="6"/>
      <color indexed="41"/>
      <name val="ＭＳ ゴシック"/>
      <family val="3"/>
    </font>
    <font>
      <sz val="12"/>
      <color indexed="41"/>
      <name val="ＭＳ ゴシック"/>
      <family val="3"/>
    </font>
    <font>
      <sz val="8"/>
      <color indexed="9"/>
      <name val="ＭＳ ゴシック"/>
      <family val="3"/>
    </font>
    <font>
      <sz val="9"/>
      <color indexed="9"/>
      <name val="ＭＳ ゴシック"/>
      <family val="3"/>
    </font>
    <font>
      <b/>
      <sz val="10"/>
      <color indexed="12"/>
      <name val="ＭＳ ゴシック"/>
      <family val="3"/>
    </font>
    <font>
      <sz val="12"/>
      <color indexed="8"/>
      <name val="ＭＳ ゴシック"/>
      <family val="3"/>
    </font>
    <font>
      <u val="single"/>
      <sz val="12"/>
      <color indexed="12"/>
      <name val="ＭＳ ゴシック"/>
      <family val="3"/>
    </font>
    <font>
      <u val="single"/>
      <sz val="12"/>
      <color indexed="36"/>
      <name val="ＭＳ ゴシック"/>
      <family val="3"/>
    </font>
    <font>
      <b/>
      <sz val="11"/>
      <name val="ＭＳ ゴシック"/>
      <family val="3"/>
    </font>
    <font>
      <sz val="11.75"/>
      <color indexed="8"/>
      <name val="ＭＳ ゴシック"/>
      <family val="3"/>
    </font>
    <font>
      <sz val="19.5"/>
      <color indexed="8"/>
      <name val="ＭＳ ゴシック"/>
      <family val="3"/>
    </font>
    <font>
      <sz val="20"/>
      <color indexed="8"/>
      <name val="ＭＳ ゴシック"/>
      <family val="3"/>
    </font>
    <font>
      <sz val="19.25"/>
      <color indexed="8"/>
      <name val="ＭＳ ゴシック"/>
      <family val="3"/>
    </font>
    <font>
      <sz val="18"/>
      <color indexed="54"/>
      <name val="游ゴシック Light"/>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12"/>
      <color indexed="22"/>
      <name val="ＭＳ ゴシック"/>
      <family val="3"/>
    </font>
    <font>
      <sz val="14"/>
      <color indexed="22"/>
      <name val="ＭＳ ゴシック"/>
      <family val="3"/>
    </font>
    <font>
      <sz val="35.25"/>
      <color indexed="8"/>
      <name val="ＭＳ ゴシック"/>
      <family val="3"/>
    </font>
    <font>
      <sz val="12"/>
      <color theme="1"/>
      <name val="ＭＳ ゴシック"/>
      <family val="3"/>
    </font>
    <font>
      <sz val="12"/>
      <color theme="0"/>
      <name val="ＭＳ ゴシック"/>
      <family val="3"/>
    </font>
    <font>
      <sz val="18"/>
      <color theme="3"/>
      <name val="Calibri Light"/>
      <family val="3"/>
    </font>
    <font>
      <b/>
      <sz val="12"/>
      <color theme="0"/>
      <name val="ＭＳ ゴシック"/>
      <family val="3"/>
    </font>
    <font>
      <sz val="12"/>
      <color rgb="FF9C57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12"/>
      <color theme="2"/>
      <name val="ＭＳ ゴシック"/>
      <family val="3"/>
    </font>
    <font>
      <sz val="14"/>
      <color theme="2"/>
      <name val="ＭＳ ゴシック"/>
      <family val="3"/>
    </font>
    <font>
      <b/>
      <sz val="8"/>
      <name val="ＭＳ ゴシック"/>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14"/>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60"/>
        <bgColor indexed="64"/>
      </patternFill>
    </fill>
    <fill>
      <patternFill patternType="solid">
        <fgColor indexed="52"/>
        <bgColor indexed="64"/>
      </patternFill>
    </fill>
    <fill>
      <patternFill patternType="solid">
        <fgColor indexed="47"/>
        <bgColor indexed="64"/>
      </patternFill>
    </fill>
    <fill>
      <patternFill patternType="gray0625">
        <fgColor indexed="8"/>
        <bgColor indexed="43"/>
      </patternFill>
    </fill>
    <fill>
      <patternFill patternType="lightUp">
        <fgColor indexed="8"/>
      </patternFill>
    </fill>
    <fill>
      <patternFill patternType="solid">
        <fgColor indexed="22"/>
        <bgColor indexed="64"/>
      </patternFill>
    </fill>
    <fill>
      <patternFill patternType="solid">
        <fgColor indexed="17"/>
        <bgColor indexed="64"/>
      </patternFill>
    </fill>
    <fill>
      <patternFill patternType="solid">
        <fgColor indexed="46"/>
        <bgColor indexed="64"/>
      </patternFill>
    </fill>
    <fill>
      <patternFill patternType="lightUp"/>
    </fill>
    <fill>
      <patternFill patternType="gray125">
        <fgColor indexed="8"/>
      </patternFill>
    </fill>
    <fill>
      <patternFill patternType="gray125">
        <fgColor indexed="8"/>
        <bgColor indexed="43"/>
      </patternFill>
    </fill>
    <fill>
      <patternFill patternType="gray125">
        <fgColor indexed="8"/>
        <bgColor indexed="15"/>
      </patternFill>
    </fill>
    <fill>
      <patternFill patternType="gray125">
        <fgColor indexed="8"/>
        <bgColor indexed="47"/>
      </patternFill>
    </fill>
    <fill>
      <patternFill patternType="gray125">
        <fgColor indexed="8"/>
        <bgColor indexed="46"/>
      </patternFill>
    </fill>
    <fill>
      <patternFill patternType="gray125">
        <fgColor indexed="8"/>
        <bgColor indexed="22"/>
      </patternFill>
    </fill>
    <fill>
      <patternFill patternType="solid">
        <fgColor indexed="65"/>
        <bgColor indexed="64"/>
      </patternFill>
    </fill>
    <fill>
      <patternFill patternType="solid">
        <fgColor indexed="65"/>
        <bgColor indexed="64"/>
      </patternFill>
    </fill>
    <fill>
      <patternFill patternType="solid">
        <fgColor theme="0"/>
        <bgColor indexed="64"/>
      </patternFill>
    </fill>
    <fill>
      <patternFill patternType="solid">
        <fgColor indexed="52"/>
        <bgColor indexed="64"/>
      </patternFill>
    </fill>
    <fill>
      <patternFill patternType="solid">
        <fgColor rgb="FFFF0000"/>
        <bgColor indexed="64"/>
      </patternFill>
    </fill>
    <fill>
      <patternFill patternType="solid">
        <fgColor theme="1" tint="0.15000000596046448"/>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ck">
        <color indexed="10"/>
      </top>
      <bottom style="thin"/>
    </border>
    <border>
      <left style="thin"/>
      <right style="thick">
        <color indexed="10"/>
      </right>
      <top style="thick">
        <color indexed="10"/>
      </top>
      <bottom style="thin"/>
    </border>
    <border>
      <left style="thin"/>
      <right style="thick">
        <color indexed="10"/>
      </right>
      <top style="thin"/>
      <bottom style="thin"/>
    </border>
    <border>
      <left style="thin"/>
      <right style="thin"/>
      <top style="thin"/>
      <bottom style="thick">
        <color indexed="10"/>
      </bottom>
    </border>
    <border>
      <left style="thin"/>
      <right style="thick">
        <color indexed="10"/>
      </right>
      <top style="thin"/>
      <bottom style="thick">
        <color indexed="10"/>
      </bottom>
    </border>
    <border>
      <left style="thick">
        <color indexed="10"/>
      </left>
      <right>
        <color indexed="63"/>
      </right>
      <top style="thick">
        <color indexed="10"/>
      </top>
      <bottom>
        <color indexed="63"/>
      </bottom>
    </border>
    <border>
      <left style="thick">
        <color indexed="10"/>
      </left>
      <right>
        <color indexed="63"/>
      </right>
      <top>
        <color indexed="63"/>
      </top>
      <bottom>
        <color indexed="63"/>
      </bottom>
    </border>
    <border>
      <left style="thick">
        <color indexed="10"/>
      </left>
      <right>
        <color indexed="63"/>
      </right>
      <top>
        <color indexed="63"/>
      </top>
      <bottom style="thick">
        <color indexed="10"/>
      </bottom>
    </border>
    <border>
      <left>
        <color indexed="63"/>
      </left>
      <right style="thin"/>
      <top style="medium"/>
      <bottom style="thin"/>
    </border>
    <border>
      <left>
        <color indexed="63"/>
      </left>
      <right style="thin"/>
      <top style="thin"/>
      <bottom style="medium"/>
    </border>
    <border>
      <left style="thin"/>
      <right style="medium"/>
      <top>
        <color indexed="63"/>
      </top>
      <bottom style="thin"/>
    </border>
    <border>
      <left style="medium"/>
      <right style="medium"/>
      <top style="medium"/>
      <bottom style="thin"/>
    </border>
    <border>
      <left style="medium"/>
      <right style="medium"/>
      <top style="thin"/>
      <bottom style="medium"/>
    </border>
    <border>
      <left style="thin"/>
      <right style="thin"/>
      <top style="thin"/>
      <bottom>
        <color indexed="63"/>
      </bottom>
    </border>
    <border>
      <left style="medium"/>
      <right style="medium"/>
      <top style="thin"/>
      <bottom style="thin"/>
    </border>
    <border>
      <left style="medium"/>
      <right style="medium"/>
      <top>
        <color indexed="63"/>
      </top>
      <bottom style="thin"/>
    </border>
    <border>
      <left style="thin"/>
      <right style="thin"/>
      <top>
        <color indexed="63"/>
      </top>
      <bottom style="thin"/>
    </border>
    <border>
      <left style="medium"/>
      <right style="thin"/>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color indexed="63"/>
      </left>
      <right style="thin"/>
      <top>
        <color indexed="63"/>
      </top>
      <bottom style="thin"/>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color indexed="63"/>
      </top>
      <bottom>
        <color indexed="63"/>
      </bottom>
    </border>
    <border>
      <left style="thin"/>
      <right>
        <color indexed="63"/>
      </right>
      <top style="medium"/>
      <bottom style="thin"/>
    </border>
    <border>
      <left>
        <color indexed="63"/>
      </left>
      <right>
        <color indexed="63"/>
      </right>
      <top>
        <color indexed="63"/>
      </top>
      <bottom style="thick">
        <color indexed="10"/>
      </bottom>
    </border>
    <border>
      <left style="medium"/>
      <right style="medium"/>
      <top>
        <color indexed="63"/>
      </top>
      <bottom style="medium"/>
    </border>
    <border>
      <left>
        <color indexed="63"/>
      </left>
      <right style="medium"/>
      <top>
        <color indexed="63"/>
      </top>
      <bottom style="medium"/>
    </border>
    <border>
      <left style="thick">
        <color indexed="10"/>
      </left>
      <right style="thick">
        <color indexed="10"/>
      </right>
      <top style="thick">
        <color indexed="10"/>
      </top>
      <bottom style="thick">
        <color indexed="10"/>
      </bottom>
    </border>
    <border>
      <left style="thick">
        <color indexed="12"/>
      </left>
      <right style="thick">
        <color indexed="12"/>
      </right>
      <top style="thick">
        <color indexed="12"/>
      </top>
      <bottom style="thick">
        <color indexed="12"/>
      </bottom>
    </border>
    <border>
      <left style="thick">
        <color indexed="12"/>
      </left>
      <right style="thick">
        <color indexed="12"/>
      </right>
      <top>
        <color indexed="63"/>
      </top>
      <bottom>
        <color indexed="63"/>
      </bottom>
    </border>
    <border>
      <left style="thin"/>
      <right style="thin"/>
      <top style="medium"/>
      <bottom>
        <color indexed="63"/>
      </bottom>
    </border>
    <border>
      <left style="thin"/>
      <right>
        <color indexed="63"/>
      </right>
      <top style="medium"/>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ck">
        <color indexed="14"/>
      </left>
      <right style="thick">
        <color indexed="14"/>
      </right>
      <top style="thick">
        <color indexed="14"/>
      </top>
      <bottom style="thick">
        <color indexed="14"/>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style="thin"/>
      <top>
        <color indexed="63"/>
      </top>
      <bottom>
        <color indexed="63"/>
      </bottom>
    </border>
    <border>
      <left>
        <color indexed="63"/>
      </left>
      <right>
        <color indexed="63"/>
      </right>
      <top style="thick">
        <color indexed="12"/>
      </top>
      <bottom>
        <color indexed="63"/>
      </bottom>
    </border>
    <border>
      <left>
        <color indexed="63"/>
      </left>
      <right>
        <color indexed="63"/>
      </right>
      <top style="thin">
        <color indexed="11"/>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40" fillId="0" borderId="0" applyNumberFormat="0" applyFill="0" applyBorder="0" applyAlignment="0" applyProtection="0"/>
    <xf numFmtId="0" fontId="79" fillId="32" borderId="0" applyNumberFormat="0" applyBorder="0" applyAlignment="0" applyProtection="0"/>
  </cellStyleXfs>
  <cellXfs count="586">
    <xf numFmtId="0" fontId="0" fillId="0" borderId="0" xfId="0" applyAlignment="1">
      <alignment vertical="center"/>
    </xf>
    <xf numFmtId="0" fontId="0" fillId="0" borderId="10"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33" borderId="11"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0" xfId="0" applyBorder="1" applyAlignment="1" applyProtection="1">
      <alignment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34" borderId="10" xfId="0" applyFill="1" applyBorder="1" applyAlignment="1" applyProtection="1">
      <alignment horizontal="center" vertical="center"/>
      <protection/>
    </xf>
    <xf numFmtId="0" fontId="0" fillId="0" borderId="0" xfId="0" applyFill="1" applyAlignment="1" applyProtection="1">
      <alignment vertical="center"/>
      <protection/>
    </xf>
    <xf numFmtId="0" fontId="0" fillId="0" borderId="10" xfId="0" applyBorder="1" applyAlignment="1" applyProtection="1">
      <alignment vertical="center"/>
      <protection/>
    </xf>
    <xf numFmtId="49" fontId="4"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0" fillId="0" borderId="0" xfId="0" applyNumberFormat="1" applyAlignment="1" applyProtection="1">
      <alignment vertical="center"/>
      <protection/>
    </xf>
    <xf numFmtId="49" fontId="0" fillId="0" borderId="15" xfId="0" applyNumberFormat="1" applyBorder="1" applyAlignment="1" applyProtection="1">
      <alignment vertical="center"/>
      <protection/>
    </xf>
    <xf numFmtId="49" fontId="0" fillId="35" borderId="16" xfId="0" applyNumberFormat="1" applyFill="1" applyBorder="1" applyAlignment="1" applyProtection="1">
      <alignment horizontal="center" vertical="center"/>
      <protection/>
    </xf>
    <xf numFmtId="49" fontId="0" fillId="35" borderId="17" xfId="0" applyNumberFormat="1" applyFill="1" applyBorder="1" applyAlignment="1" applyProtection="1">
      <alignment horizontal="center" vertical="center"/>
      <protection/>
    </xf>
    <xf numFmtId="49" fontId="0" fillId="36" borderId="11" xfId="0" applyNumberFormat="1" applyFill="1" applyBorder="1" applyAlignment="1" applyProtection="1">
      <alignment horizontal="center" vertical="center"/>
      <protection/>
    </xf>
    <xf numFmtId="49" fontId="0" fillId="37" borderId="10" xfId="0" applyNumberFormat="1" applyFill="1" applyBorder="1" applyAlignment="1" applyProtection="1">
      <alignment horizontal="center" vertical="center"/>
      <protection/>
    </xf>
    <xf numFmtId="49" fontId="0" fillId="38" borderId="10" xfId="0" applyNumberFormat="1" applyFill="1" applyBorder="1" applyAlignment="1" applyProtection="1">
      <alignment horizontal="center" vertical="center"/>
      <protection/>
    </xf>
    <xf numFmtId="49" fontId="0" fillId="38" borderId="12" xfId="0" applyNumberFormat="1" applyFill="1" applyBorder="1" applyAlignment="1" applyProtection="1">
      <alignment horizontal="center" vertical="center"/>
      <protection/>
    </xf>
    <xf numFmtId="49" fontId="0" fillId="39" borderId="10" xfId="0" applyNumberFormat="1" applyFill="1" applyBorder="1" applyAlignment="1" applyProtection="1">
      <alignment horizontal="center" vertical="center"/>
      <protection/>
    </xf>
    <xf numFmtId="49" fontId="0" fillId="36" borderId="13" xfId="0" applyNumberFormat="1" applyFill="1" applyBorder="1" applyAlignment="1" applyProtection="1">
      <alignment horizontal="center" vertical="center"/>
      <protection/>
    </xf>
    <xf numFmtId="49" fontId="0" fillId="39" borderId="18" xfId="0" applyNumberFormat="1" applyFill="1" applyBorder="1" applyAlignment="1" applyProtection="1">
      <alignment horizontal="center" vertical="center"/>
      <protection/>
    </xf>
    <xf numFmtId="49" fontId="0" fillId="37" borderId="14" xfId="0" applyNumberFormat="1" applyFill="1" applyBorder="1" applyAlignment="1" applyProtection="1">
      <alignment horizontal="center" vertical="center"/>
      <protection/>
    </xf>
    <xf numFmtId="49" fontId="0" fillId="38" borderId="10" xfId="0" applyNumberFormat="1" applyFill="1" applyBorder="1" applyAlignment="1" applyProtection="1">
      <alignment vertical="center"/>
      <protection/>
    </xf>
    <xf numFmtId="49" fontId="0" fillId="39" borderId="10"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0" fillId="0" borderId="10" xfId="0" applyNumberFormat="1" applyBorder="1" applyAlignment="1" applyProtection="1">
      <alignment vertical="center"/>
      <protection/>
    </xf>
    <xf numFmtId="49" fontId="0" fillId="0" borderId="0" xfId="0" applyNumberFormat="1" applyBorder="1" applyAlignment="1" applyProtection="1">
      <alignment vertical="center"/>
      <protection/>
    </xf>
    <xf numFmtId="0" fontId="0" fillId="34" borderId="10" xfId="0" applyFill="1" applyBorder="1" applyAlignment="1" applyProtection="1">
      <alignment horizontal="left" vertical="center"/>
      <protection/>
    </xf>
    <xf numFmtId="0" fontId="0" fillId="40" borderId="10" xfId="0" applyFill="1" applyBorder="1" applyAlignment="1" applyProtection="1">
      <alignment horizontal="center" vertical="center"/>
      <protection/>
    </xf>
    <xf numFmtId="0" fontId="0" fillId="0" borderId="0" xfId="0" applyAlignment="1" applyProtection="1">
      <alignment vertical="center"/>
      <protection/>
    </xf>
    <xf numFmtId="0" fontId="0" fillId="0" borderId="0" xfId="0" applyFill="1" applyAlignment="1" applyProtection="1">
      <alignment horizontal="center" vertical="center"/>
      <protection/>
    </xf>
    <xf numFmtId="0" fontId="0" fillId="0" borderId="0" xfId="0" applyBorder="1" applyAlignment="1" applyProtection="1">
      <alignment vertical="center"/>
      <protection/>
    </xf>
    <xf numFmtId="0" fontId="0" fillId="0" borderId="0" xfId="0" applyFill="1" applyBorder="1" applyAlignment="1" applyProtection="1">
      <alignment horizontal="center" vertical="center"/>
      <protection/>
    </xf>
    <xf numFmtId="0" fontId="0" fillId="40" borderId="0" xfId="0" applyFill="1" applyAlignment="1" applyProtection="1">
      <alignment horizontal="center" vertical="center"/>
      <protection/>
    </xf>
    <xf numFmtId="0" fontId="0" fillId="0" borderId="0" xfId="0" applyBorder="1" applyAlignment="1" applyProtection="1">
      <alignment horizontal="center" vertical="center"/>
      <protection/>
    </xf>
    <xf numFmtId="176" fontId="0" fillId="0" borderId="0" xfId="0" applyNumberFormat="1" applyBorder="1" applyAlignment="1" applyProtection="1">
      <alignment horizontal="center" vertical="center"/>
      <protection/>
    </xf>
    <xf numFmtId="0" fontId="0" fillId="0" borderId="0" xfId="0" applyFill="1" applyBorder="1" applyAlignment="1" applyProtection="1">
      <alignment vertical="center"/>
      <protection/>
    </xf>
    <xf numFmtId="176" fontId="0" fillId="0" borderId="0" xfId="0" applyNumberFormat="1" applyFill="1" applyBorder="1" applyAlignment="1" applyProtection="1">
      <alignment vertical="center"/>
      <protection/>
    </xf>
    <xf numFmtId="177" fontId="0" fillId="0" borderId="0" xfId="0" applyNumberFormat="1" applyFill="1" applyBorder="1" applyAlignment="1" applyProtection="1">
      <alignment vertical="center"/>
      <protection/>
    </xf>
    <xf numFmtId="178" fontId="0" fillId="0" borderId="10" xfId="0" applyNumberFormat="1" applyBorder="1" applyAlignment="1" applyProtection="1">
      <alignment vertical="center"/>
      <protection locked="0"/>
    </xf>
    <xf numFmtId="49" fontId="8" fillId="39" borderId="0" xfId="0" applyNumberFormat="1" applyFont="1" applyFill="1" applyAlignment="1">
      <alignment vertical="center"/>
    </xf>
    <xf numFmtId="49" fontId="8" fillId="0" borderId="0" xfId="0" applyNumberFormat="1" applyFont="1" applyAlignment="1">
      <alignment vertical="center"/>
    </xf>
    <xf numFmtId="49" fontId="9" fillId="39" borderId="0" xfId="0" applyNumberFormat="1" applyFont="1" applyFill="1" applyAlignment="1">
      <alignment vertical="center"/>
    </xf>
    <xf numFmtId="49" fontId="10" fillId="39" borderId="0" xfId="0" applyNumberFormat="1" applyFont="1" applyFill="1" applyAlignment="1">
      <alignment vertical="center"/>
    </xf>
    <xf numFmtId="49" fontId="0" fillId="0" borderId="19" xfId="0" applyNumberFormat="1" applyBorder="1" applyAlignment="1" applyProtection="1">
      <alignment vertical="center"/>
      <protection/>
    </xf>
    <xf numFmtId="49" fontId="0" fillId="0" borderId="20" xfId="0" applyNumberFormat="1" applyBorder="1" applyAlignment="1" applyProtection="1">
      <alignment vertical="center"/>
      <protection/>
    </xf>
    <xf numFmtId="49" fontId="0" fillId="0" borderId="21" xfId="0" applyNumberFormat="1" applyBorder="1" applyAlignment="1" applyProtection="1">
      <alignment vertical="center"/>
      <protection/>
    </xf>
    <xf numFmtId="0" fontId="0" fillId="40" borderId="0" xfId="0" applyFill="1" applyAlignment="1" applyProtection="1">
      <alignment vertical="center"/>
      <protection/>
    </xf>
    <xf numFmtId="0" fontId="0" fillId="33" borderId="15"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33" borderId="17" xfId="0" applyFill="1" applyBorder="1" applyAlignment="1" applyProtection="1">
      <alignment horizontal="center" vertical="center"/>
      <protection/>
    </xf>
    <xf numFmtId="0" fontId="0" fillId="38" borderId="0" xfId="0" applyFill="1" applyAlignment="1" applyProtection="1">
      <alignment vertical="center"/>
      <protection/>
    </xf>
    <xf numFmtId="0" fontId="0" fillId="39" borderId="0" xfId="0" applyFill="1" applyAlignment="1" applyProtection="1">
      <alignment vertical="center"/>
      <protection/>
    </xf>
    <xf numFmtId="0" fontId="0" fillId="40" borderId="10" xfId="0" applyFill="1" applyBorder="1" applyAlignment="1" applyProtection="1">
      <alignment vertical="center"/>
      <protection/>
    </xf>
    <xf numFmtId="0" fontId="0" fillId="38" borderId="10" xfId="0" applyFill="1" applyBorder="1" applyAlignment="1" applyProtection="1">
      <alignment vertical="center"/>
      <protection/>
    </xf>
    <xf numFmtId="0" fontId="0" fillId="39" borderId="10" xfId="0" applyFill="1" applyBorder="1" applyAlignment="1" applyProtection="1">
      <alignment vertical="center"/>
      <protection/>
    </xf>
    <xf numFmtId="0" fontId="0" fillId="34" borderId="22" xfId="0" applyFill="1" applyBorder="1" applyAlignment="1" applyProtection="1">
      <alignment horizontal="center" vertical="center"/>
      <protection/>
    </xf>
    <xf numFmtId="0" fontId="0" fillId="34" borderId="23" xfId="0" applyFill="1" applyBorder="1" applyAlignment="1" applyProtection="1">
      <alignment horizontal="center" vertical="center"/>
      <protection/>
    </xf>
    <xf numFmtId="0" fontId="0" fillId="0" borderId="24" xfId="0" applyBorder="1" applyAlignment="1" applyProtection="1">
      <alignment horizontal="center" vertical="center"/>
      <protection/>
    </xf>
    <xf numFmtId="0" fontId="0" fillId="34" borderId="24" xfId="0" applyFill="1" applyBorder="1" applyAlignment="1" applyProtection="1">
      <alignment horizontal="center" vertical="center"/>
      <protection/>
    </xf>
    <xf numFmtId="0" fontId="0" fillId="0" borderId="25" xfId="0"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horizontal="center" vertical="center"/>
      <protection/>
    </xf>
    <xf numFmtId="0" fontId="0" fillId="40" borderId="27" xfId="0" applyFill="1" applyBorder="1" applyAlignment="1" applyProtection="1">
      <alignment vertical="center"/>
      <protection/>
    </xf>
    <xf numFmtId="0" fontId="0" fillId="40" borderId="28" xfId="0" applyFill="1" applyBorder="1" applyAlignment="1" applyProtection="1">
      <alignment vertical="center"/>
      <protection/>
    </xf>
    <xf numFmtId="0" fontId="0" fillId="40" borderId="29" xfId="0" applyFill="1" applyBorder="1" applyAlignment="1" applyProtection="1">
      <alignment vertical="center"/>
      <protection/>
    </xf>
    <xf numFmtId="0" fontId="0" fillId="38" borderId="27" xfId="0" applyFill="1" applyBorder="1" applyAlignment="1" applyProtection="1">
      <alignment vertical="center"/>
      <protection/>
    </xf>
    <xf numFmtId="0" fontId="0" fillId="38" borderId="28" xfId="0" applyFill="1" applyBorder="1" applyAlignment="1" applyProtection="1">
      <alignment vertical="center"/>
      <protection/>
    </xf>
    <xf numFmtId="0" fontId="0" fillId="38" borderId="29" xfId="0" applyFill="1" applyBorder="1" applyAlignment="1" applyProtection="1">
      <alignment vertical="center"/>
      <protection/>
    </xf>
    <xf numFmtId="0" fontId="0" fillId="39" borderId="27" xfId="0" applyFill="1" applyBorder="1" applyAlignment="1" applyProtection="1">
      <alignment vertical="center"/>
      <protection/>
    </xf>
    <xf numFmtId="0" fontId="0" fillId="39" borderId="28" xfId="0" applyFill="1" applyBorder="1" applyAlignment="1" applyProtection="1">
      <alignment vertical="center"/>
      <protection/>
    </xf>
    <xf numFmtId="0" fontId="0" fillId="39" borderId="29" xfId="0" applyFill="1" applyBorder="1" applyAlignment="1" applyProtection="1">
      <alignment vertical="center"/>
      <protection/>
    </xf>
    <xf numFmtId="178" fontId="0" fillId="0" borderId="0" xfId="0" applyNumberFormat="1" applyBorder="1" applyAlignment="1" applyProtection="1">
      <alignment vertical="center"/>
      <protection locked="0"/>
    </xf>
    <xf numFmtId="0" fontId="0" fillId="0" borderId="0" xfId="0" applyBorder="1" applyAlignment="1" applyProtection="1">
      <alignment horizontal="center" vertical="center"/>
      <protection locked="0"/>
    </xf>
    <xf numFmtId="176" fontId="12" fillId="0" borderId="30" xfId="0" applyNumberFormat="1" applyFont="1" applyBorder="1" applyAlignment="1">
      <alignment vertical="center"/>
    </xf>
    <xf numFmtId="176" fontId="12" fillId="0" borderId="16" xfId="0" applyNumberFormat="1" applyFont="1" applyBorder="1" applyAlignment="1">
      <alignment vertical="center"/>
    </xf>
    <xf numFmtId="176" fontId="12" fillId="0" borderId="31" xfId="0" applyNumberFormat="1" applyFont="1" applyBorder="1" applyAlignment="1">
      <alignment vertical="center"/>
    </xf>
    <xf numFmtId="176" fontId="12" fillId="0" borderId="18" xfId="0" applyNumberFormat="1" applyFont="1" applyBorder="1" applyAlignment="1">
      <alignment vertical="center"/>
    </xf>
    <xf numFmtId="0" fontId="13" fillId="41" borderId="14" xfId="0" applyFont="1" applyFill="1" applyBorder="1" applyAlignment="1">
      <alignment horizontal="center" vertical="center"/>
    </xf>
    <xf numFmtId="0" fontId="13" fillId="41" borderId="32" xfId="0" applyFont="1" applyFill="1" applyBorder="1" applyAlignment="1">
      <alignment horizontal="center" vertical="center"/>
    </xf>
    <xf numFmtId="0" fontId="0" fillId="35" borderId="33" xfId="0" applyFill="1" applyBorder="1" applyAlignment="1">
      <alignment vertical="center"/>
    </xf>
    <xf numFmtId="0" fontId="0" fillId="35" borderId="34" xfId="0" applyFill="1" applyBorder="1" applyAlignment="1">
      <alignment vertical="center"/>
    </xf>
    <xf numFmtId="49" fontId="0" fillId="0" borderId="35" xfId="0" applyNumberFormat="1" applyBorder="1" applyAlignment="1" applyProtection="1">
      <alignment vertical="center"/>
      <protection/>
    </xf>
    <xf numFmtId="0" fontId="2" fillId="0" borderId="0" xfId="0" applyFont="1" applyAlignment="1">
      <alignment vertical="center"/>
    </xf>
    <xf numFmtId="0" fontId="0" fillId="0" borderId="0" xfId="0" applyAlignment="1">
      <alignment horizontal="center" vertical="center"/>
    </xf>
    <xf numFmtId="0" fontId="0" fillId="33" borderId="10" xfId="0" applyFill="1" applyBorder="1" applyAlignment="1">
      <alignment vertical="center"/>
    </xf>
    <xf numFmtId="0" fontId="0" fillId="34" borderId="0" xfId="0" applyFill="1" applyBorder="1" applyAlignment="1">
      <alignment horizontal="center" vertical="center"/>
    </xf>
    <xf numFmtId="0" fontId="0" fillId="0" borderId="0" xfId="0" applyBorder="1" applyAlignment="1">
      <alignment vertical="center"/>
    </xf>
    <xf numFmtId="0" fontId="15" fillId="0" borderId="10" xfId="0" applyFont="1" applyBorder="1" applyAlignment="1">
      <alignment horizontal="center" vertical="center"/>
    </xf>
    <xf numFmtId="0" fontId="15" fillId="0" borderId="36" xfId="0" applyFont="1" applyBorder="1" applyAlignment="1">
      <alignment horizontal="center" vertical="center"/>
    </xf>
    <xf numFmtId="180" fontId="15" fillId="0" borderId="36" xfId="0" applyNumberFormat="1" applyFont="1" applyBorder="1" applyAlignment="1">
      <alignment vertical="center"/>
    </xf>
    <xf numFmtId="180" fontId="15" fillId="0" borderId="34" xfId="0" applyNumberFormat="1" applyFont="1" applyBorder="1" applyAlignment="1">
      <alignment vertical="center"/>
    </xf>
    <xf numFmtId="0" fontId="16" fillId="42" borderId="33" xfId="0" applyFont="1" applyFill="1" applyBorder="1" applyAlignment="1">
      <alignment horizontal="center" vertical="center"/>
    </xf>
    <xf numFmtId="0" fontId="0" fillId="0" borderId="0" xfId="0" applyAlignment="1" applyProtection="1">
      <alignment horizontal="right" vertical="center"/>
      <protection/>
    </xf>
    <xf numFmtId="0" fontId="4" fillId="0" borderId="0" xfId="0" applyFont="1" applyAlignment="1">
      <alignment vertical="center"/>
    </xf>
    <xf numFmtId="176" fontId="0" fillId="0" borderId="0" xfId="0" applyNumberFormat="1" applyBorder="1" applyAlignment="1" applyProtection="1" quotePrefix="1">
      <alignment horizontal="center" vertical="center"/>
      <protection/>
    </xf>
    <xf numFmtId="181" fontId="0" fillId="0" borderId="10" xfId="0" applyNumberFormat="1" applyBorder="1" applyAlignment="1">
      <alignment vertical="center"/>
    </xf>
    <xf numFmtId="0" fontId="2" fillId="35" borderId="37" xfId="0" applyFont="1" applyFill="1" applyBorder="1" applyAlignment="1">
      <alignment vertical="center"/>
    </xf>
    <xf numFmtId="178" fontId="0" fillId="0" borderId="0" xfId="0" applyNumberFormat="1" applyBorder="1" applyAlignment="1" applyProtection="1">
      <alignment horizontal="center" vertical="center"/>
      <protection/>
    </xf>
    <xf numFmtId="177" fontId="15" fillId="0" borderId="10" xfId="0" applyNumberFormat="1" applyFont="1" applyBorder="1" applyAlignment="1">
      <alignment horizontal="center" vertical="center"/>
    </xf>
    <xf numFmtId="0" fontId="18" fillId="0" borderId="0" xfId="0" applyFont="1" applyFill="1" applyAlignment="1">
      <alignment horizontal="center" vertical="center"/>
    </xf>
    <xf numFmtId="0" fontId="0" fillId="0" borderId="32" xfId="0" applyBorder="1" applyAlignment="1" applyProtection="1">
      <alignment horizontal="center" vertical="center"/>
      <protection/>
    </xf>
    <xf numFmtId="0" fontId="0" fillId="0" borderId="38" xfId="0" applyFill="1" applyBorder="1" applyAlignment="1" applyProtection="1">
      <alignment horizontal="center" vertical="center"/>
      <protection/>
    </xf>
    <xf numFmtId="0" fontId="0" fillId="0" borderId="39" xfId="0" applyBorder="1" applyAlignment="1" applyProtection="1">
      <alignment horizontal="center" vertical="center"/>
      <protection/>
    </xf>
    <xf numFmtId="178" fontId="0" fillId="35" borderId="10" xfId="0" applyNumberFormat="1" applyFill="1" applyBorder="1" applyAlignment="1" applyProtection="1">
      <alignment vertical="center"/>
      <protection locked="0"/>
    </xf>
    <xf numFmtId="0" fontId="19" fillId="43" borderId="10" xfId="0" applyFont="1" applyFill="1" applyBorder="1" applyAlignment="1" applyProtection="1">
      <alignment horizontal="center" vertical="center"/>
      <protection/>
    </xf>
    <xf numFmtId="0" fontId="16" fillId="42" borderId="10" xfId="0" applyFont="1" applyFill="1" applyBorder="1" applyAlignment="1" applyProtection="1">
      <alignment horizontal="center" vertical="center"/>
      <protection/>
    </xf>
    <xf numFmtId="0" fontId="13" fillId="44" borderId="10" xfId="0" applyFont="1" applyFill="1" applyBorder="1" applyAlignment="1" applyProtection="1">
      <alignment horizontal="center" vertical="center"/>
      <protection/>
    </xf>
    <xf numFmtId="0" fontId="20" fillId="40" borderId="10" xfId="0" applyFont="1" applyFill="1" applyBorder="1" applyAlignment="1" applyProtection="1">
      <alignment horizontal="center" vertical="center"/>
      <protection/>
    </xf>
    <xf numFmtId="0" fontId="16" fillId="42" borderId="19" xfId="0" applyFont="1" applyFill="1" applyBorder="1" applyAlignment="1" applyProtection="1">
      <alignment horizontal="center" vertical="center"/>
      <protection/>
    </xf>
    <xf numFmtId="0" fontId="19" fillId="43" borderId="35" xfId="0" applyFont="1" applyFill="1" applyBorder="1" applyAlignment="1" applyProtection="1">
      <alignment horizontal="center" vertical="center"/>
      <protection/>
    </xf>
    <xf numFmtId="0" fontId="22" fillId="0" borderId="10" xfId="0" applyFont="1" applyBorder="1" applyAlignment="1" applyProtection="1">
      <alignment horizontal="center" vertical="center"/>
      <protection/>
    </xf>
    <xf numFmtId="0" fontId="0" fillId="45" borderId="40" xfId="0" applyFill="1" applyBorder="1" applyAlignment="1" applyProtection="1">
      <alignment horizontal="center" vertical="center"/>
      <protection/>
    </xf>
    <xf numFmtId="0" fontId="0" fillId="40" borderId="41" xfId="0" applyFill="1" applyBorder="1" applyAlignment="1" applyProtection="1">
      <alignment horizontal="center" vertical="center"/>
      <protection/>
    </xf>
    <xf numFmtId="0" fontId="0" fillId="38" borderId="41" xfId="0" applyFill="1" applyBorder="1" applyAlignment="1" applyProtection="1">
      <alignment horizontal="center" vertical="center"/>
      <protection/>
    </xf>
    <xf numFmtId="0" fontId="0" fillId="39" borderId="41" xfId="0" applyFill="1" applyBorder="1" applyAlignment="1" applyProtection="1">
      <alignment horizontal="center" vertical="center"/>
      <protection/>
    </xf>
    <xf numFmtId="0" fontId="0" fillId="37" borderId="41" xfId="0" applyFill="1" applyBorder="1" applyAlignment="1" applyProtection="1">
      <alignment horizontal="center" vertical="center"/>
      <protection/>
    </xf>
    <xf numFmtId="0" fontId="0" fillId="46" borderId="41" xfId="0" applyFill="1" applyBorder="1" applyAlignment="1" applyProtection="1">
      <alignment horizontal="center" vertical="center"/>
      <protection/>
    </xf>
    <xf numFmtId="0" fontId="0" fillId="0" borderId="42" xfId="0" applyBorder="1" applyAlignment="1" applyProtection="1">
      <alignment horizontal="center" vertical="center"/>
      <protection/>
    </xf>
    <xf numFmtId="0" fontId="0" fillId="0" borderId="10" xfId="0" applyFill="1" applyBorder="1" applyAlignment="1" applyProtection="1">
      <alignment vertical="center"/>
      <protection locked="0"/>
    </xf>
    <xf numFmtId="0" fontId="13" fillId="42" borderId="0" xfId="0" applyFont="1" applyFill="1" applyAlignment="1" applyProtection="1">
      <alignment horizontal="center" vertical="center"/>
      <protection/>
    </xf>
    <xf numFmtId="0" fontId="24" fillId="0" borderId="0" xfId="0" applyFont="1" applyAlignment="1" applyProtection="1">
      <alignment horizontal="left" vertical="center"/>
      <protection/>
    </xf>
    <xf numFmtId="0" fontId="2" fillId="0" borderId="0" xfId="0" applyFont="1" applyAlignment="1" applyProtection="1">
      <alignment horizontal="center" vertical="center"/>
      <protection/>
    </xf>
    <xf numFmtId="0" fontId="0" fillId="0" borderId="43" xfId="0" applyBorder="1" applyAlignment="1" applyProtection="1">
      <alignment horizontal="center" vertical="center"/>
      <protection/>
    </xf>
    <xf numFmtId="0" fontId="0" fillId="35" borderId="44" xfId="0" applyFill="1" applyBorder="1" applyAlignment="1" applyProtection="1">
      <alignment horizontal="center" vertical="center"/>
      <protection/>
    </xf>
    <xf numFmtId="0" fontId="0" fillId="35" borderId="45" xfId="0" applyFill="1" applyBorder="1" applyAlignment="1" applyProtection="1">
      <alignment horizontal="center" vertical="center"/>
      <protection/>
    </xf>
    <xf numFmtId="0" fontId="0" fillId="36" borderId="37" xfId="0" applyFill="1" applyBorder="1" applyAlignment="1" applyProtection="1">
      <alignment horizontal="center" vertical="center"/>
      <protection/>
    </xf>
    <xf numFmtId="0" fontId="0" fillId="47" borderId="46" xfId="0" applyFill="1" applyBorder="1" applyAlignment="1" applyProtection="1">
      <alignment horizontal="center" vertical="center"/>
      <protection/>
    </xf>
    <xf numFmtId="0" fontId="0" fillId="48" borderId="21" xfId="0" applyFill="1" applyBorder="1" applyAlignment="1" applyProtection="1">
      <alignment horizontal="center" vertical="center"/>
      <protection/>
    </xf>
    <xf numFmtId="0" fontId="3" fillId="0" borderId="0" xfId="0" applyFont="1" applyAlignment="1" applyProtection="1">
      <alignment horizontal="center" vertical="center"/>
      <protection/>
    </xf>
    <xf numFmtId="0" fontId="5" fillId="33" borderId="47" xfId="0" applyFont="1" applyFill="1" applyBorder="1" applyAlignment="1" applyProtection="1">
      <alignment horizontal="left"/>
      <protection/>
    </xf>
    <xf numFmtId="0" fontId="0" fillId="33" borderId="45" xfId="0" applyFill="1" applyBorder="1" applyAlignment="1" applyProtection="1">
      <alignment horizontal="center" vertical="center"/>
      <protection/>
    </xf>
    <xf numFmtId="0" fontId="0" fillId="49" borderId="45" xfId="0" applyFill="1" applyBorder="1" applyAlignment="1" applyProtection="1">
      <alignment horizontal="center" vertical="center"/>
      <protection/>
    </xf>
    <xf numFmtId="0" fontId="0" fillId="49" borderId="48" xfId="0" applyFill="1" applyBorder="1" applyAlignment="1" applyProtection="1">
      <alignment vertical="center"/>
      <protection/>
    </xf>
    <xf numFmtId="0" fontId="5" fillId="33" borderId="49" xfId="0" applyFont="1" applyFill="1" applyBorder="1" applyAlignment="1" applyProtection="1">
      <alignment horizontal="center" vertical="center"/>
      <protection/>
    </xf>
    <xf numFmtId="0" fontId="0" fillId="35" borderId="10" xfId="0" applyFill="1" applyBorder="1" applyAlignment="1" applyProtection="1">
      <alignment horizontal="center" vertical="center"/>
      <protection/>
    </xf>
    <xf numFmtId="0" fontId="13" fillId="50" borderId="10" xfId="0" applyFont="1" applyFill="1" applyBorder="1" applyAlignment="1" applyProtection="1">
      <alignment horizontal="center" vertical="center"/>
      <protection/>
    </xf>
    <xf numFmtId="0" fontId="0" fillId="38" borderId="10" xfId="0" applyFill="1" applyBorder="1" applyAlignment="1" applyProtection="1">
      <alignment vertical="center"/>
      <protection locked="0"/>
    </xf>
    <xf numFmtId="0" fontId="0" fillId="39" borderId="10" xfId="0" applyFill="1" applyBorder="1" applyAlignment="1" applyProtection="1">
      <alignment horizontal="center" vertical="center"/>
      <protection/>
    </xf>
    <xf numFmtId="0" fontId="0" fillId="51" borderId="41" xfId="0" applyFill="1" applyBorder="1" applyAlignment="1" applyProtection="1">
      <alignment horizontal="center" vertical="center"/>
      <protection/>
    </xf>
    <xf numFmtId="0" fontId="0" fillId="39" borderId="10" xfId="0" applyNumberFormat="1" applyFill="1" applyBorder="1" applyAlignment="1" applyProtection="1">
      <alignment horizontal="center" vertical="center"/>
      <protection/>
    </xf>
    <xf numFmtId="178" fontId="0" fillId="39" borderId="10" xfId="0" applyNumberFormat="1" applyFill="1" applyBorder="1" applyAlignment="1" applyProtection="1">
      <alignment horizontal="center" vertical="center"/>
      <protection/>
    </xf>
    <xf numFmtId="176" fontId="14" fillId="42" borderId="17" xfId="0" applyNumberFormat="1" applyFont="1" applyFill="1" applyBorder="1" applyAlignment="1">
      <alignment vertical="center"/>
    </xf>
    <xf numFmtId="176" fontId="14" fillId="42" borderId="14" xfId="0" applyNumberFormat="1" applyFont="1" applyFill="1" applyBorder="1" applyAlignment="1">
      <alignment vertical="center"/>
    </xf>
    <xf numFmtId="0" fontId="0" fillId="0" borderId="38" xfId="0" applyFill="1" applyBorder="1" applyAlignment="1" applyProtection="1">
      <alignment vertical="center"/>
      <protection locked="0"/>
    </xf>
    <xf numFmtId="0" fontId="0" fillId="33" borderId="47" xfId="0" applyFill="1" applyBorder="1" applyAlignment="1" applyProtection="1">
      <alignment horizontal="center" vertical="center"/>
      <protection/>
    </xf>
    <xf numFmtId="0" fontId="0" fillId="33" borderId="49"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49" fontId="0" fillId="0" borderId="0" xfId="0" applyNumberFormat="1" applyAlignment="1" applyProtection="1">
      <alignment horizontal="center" vertical="center"/>
      <protection/>
    </xf>
    <xf numFmtId="49" fontId="0" fillId="0" borderId="0" xfId="0" applyNumberFormat="1" applyAlignment="1" applyProtection="1">
      <alignment vertical="center"/>
      <protection/>
    </xf>
    <xf numFmtId="49" fontId="0" fillId="39" borderId="0" xfId="0" applyNumberFormat="1" applyFill="1" applyAlignment="1" applyProtection="1">
      <alignment horizontal="center" vertical="center"/>
      <protection/>
    </xf>
    <xf numFmtId="178" fontId="0" fillId="35" borderId="38" xfId="0" applyNumberFormat="1" applyFill="1" applyBorder="1" applyAlignment="1" applyProtection="1">
      <alignment vertical="center"/>
      <protection locked="0"/>
    </xf>
    <xf numFmtId="178" fontId="0" fillId="0" borderId="38" xfId="0" applyNumberFormat="1" applyBorder="1" applyAlignment="1" applyProtection="1">
      <alignment vertical="center"/>
      <protection locked="0"/>
    </xf>
    <xf numFmtId="0" fontId="0" fillId="0" borderId="38" xfId="0" applyBorder="1" applyAlignment="1" applyProtection="1">
      <alignment horizontal="center" vertical="center"/>
      <protection locked="0"/>
    </xf>
    <xf numFmtId="0" fontId="0" fillId="38" borderId="38" xfId="0" applyFill="1" applyBorder="1" applyAlignment="1" applyProtection="1">
      <alignment vertical="center"/>
      <protection locked="0"/>
    </xf>
    <xf numFmtId="0" fontId="0" fillId="39" borderId="38" xfId="0" applyFill="1" applyBorder="1" applyAlignment="1" applyProtection="1">
      <alignment horizontal="center" vertical="center"/>
      <protection/>
    </xf>
    <xf numFmtId="178" fontId="0" fillId="0" borderId="25" xfId="0" applyNumberFormat="1" applyBorder="1" applyAlignment="1" applyProtection="1">
      <alignment vertical="center"/>
      <protection locked="0"/>
    </xf>
    <xf numFmtId="0" fontId="0" fillId="0" borderId="25" xfId="0" applyBorder="1" applyAlignment="1" applyProtection="1">
      <alignment horizontal="center" vertical="center"/>
      <protection locked="0"/>
    </xf>
    <xf numFmtId="0" fontId="0" fillId="38" borderId="25" xfId="0" applyFill="1" applyBorder="1" applyAlignment="1" applyProtection="1">
      <alignment vertical="center"/>
      <protection locked="0"/>
    </xf>
    <xf numFmtId="0" fontId="0" fillId="39" borderId="25" xfId="0" applyFill="1" applyBorder="1" applyAlignment="1" applyProtection="1">
      <alignment horizontal="center" vertical="center"/>
      <protection/>
    </xf>
    <xf numFmtId="0" fontId="0" fillId="48" borderId="11" xfId="0" applyFill="1" applyBorder="1" applyAlignment="1" applyProtection="1">
      <alignment horizontal="center" vertical="center"/>
      <protection/>
    </xf>
    <xf numFmtId="0" fontId="0" fillId="47" borderId="15" xfId="0" applyFill="1" applyBorder="1" applyAlignment="1" applyProtection="1">
      <alignment horizontal="center" vertical="center"/>
      <protection/>
    </xf>
    <xf numFmtId="0" fontId="0" fillId="52" borderId="11" xfId="0" applyFill="1" applyBorder="1" applyAlignment="1" applyProtection="1">
      <alignment horizontal="center" vertical="center"/>
      <protection/>
    </xf>
    <xf numFmtId="0" fontId="0" fillId="0" borderId="50" xfId="0" applyBorder="1" applyAlignment="1">
      <alignment vertical="center"/>
    </xf>
    <xf numFmtId="0" fontId="0" fillId="34" borderId="15" xfId="0" applyFill="1" applyBorder="1" applyAlignment="1">
      <alignment horizontal="center" vertical="center"/>
    </xf>
    <xf numFmtId="0" fontId="0" fillId="34" borderId="16" xfId="0" applyFill="1" applyBorder="1" applyAlignment="1">
      <alignment horizontal="center" vertical="center"/>
    </xf>
    <xf numFmtId="0" fontId="0" fillId="34" borderId="51" xfId="0" applyFill="1" applyBorder="1" applyAlignment="1">
      <alignment horizontal="center" vertical="center"/>
    </xf>
    <xf numFmtId="0" fontId="15" fillId="0" borderId="18" xfId="0" applyFont="1" applyBorder="1" applyAlignment="1">
      <alignment horizontal="center" vertical="center"/>
    </xf>
    <xf numFmtId="0" fontId="8" fillId="0" borderId="0" xfId="0" applyFont="1" applyAlignment="1" applyProtection="1">
      <alignment vertical="center"/>
      <protection/>
    </xf>
    <xf numFmtId="49" fontId="13" fillId="43" borderId="52" xfId="0" applyNumberFormat="1" applyFont="1" applyFill="1" applyBorder="1" applyAlignment="1" applyProtection="1">
      <alignment vertical="center"/>
      <protection/>
    </xf>
    <xf numFmtId="0" fontId="8" fillId="0" borderId="11"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0" fillId="35" borderId="49"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36" borderId="53" xfId="0" applyFill="1" applyBorder="1" applyAlignment="1" applyProtection="1">
      <alignment horizontal="center" vertical="center"/>
      <protection/>
    </xf>
    <xf numFmtId="0" fontId="0" fillId="48" borderId="31" xfId="0" applyFill="1" applyBorder="1" applyAlignment="1" applyProtection="1">
      <alignment horizontal="center" vertical="center"/>
      <protection/>
    </xf>
    <xf numFmtId="0" fontId="0" fillId="47" borderId="54"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52" borderId="13" xfId="0" applyFill="1" applyBorder="1" applyAlignment="1" applyProtection="1">
      <alignment horizontal="center" vertical="center"/>
      <protection/>
    </xf>
    <xf numFmtId="0" fontId="0" fillId="52" borderId="18" xfId="0" applyFill="1" applyBorder="1" applyAlignment="1" applyProtection="1">
      <alignment horizontal="center" vertical="center"/>
      <protection/>
    </xf>
    <xf numFmtId="0" fontId="0" fillId="50" borderId="0" xfId="0" applyFont="1" applyFill="1" applyAlignment="1" applyProtection="1">
      <alignment vertical="center"/>
      <protection/>
    </xf>
    <xf numFmtId="0" fontId="0" fillId="50" borderId="0" xfId="0" applyFill="1" applyAlignment="1" applyProtection="1">
      <alignment vertical="center"/>
      <protection/>
    </xf>
    <xf numFmtId="0" fontId="0" fillId="36" borderId="0" xfId="0" applyFill="1" applyAlignment="1" applyProtection="1">
      <alignment vertical="center"/>
      <protection/>
    </xf>
    <xf numFmtId="0" fontId="27" fillId="50" borderId="0" xfId="0" applyFont="1" applyFill="1" applyAlignment="1" applyProtection="1">
      <alignment vertical="center"/>
      <protection/>
    </xf>
    <xf numFmtId="0" fontId="28" fillId="50" borderId="0" xfId="0" applyFont="1" applyFill="1" applyAlignment="1" applyProtection="1">
      <alignment horizontal="center" vertical="top"/>
      <protection/>
    </xf>
    <xf numFmtId="0" fontId="0" fillId="50" borderId="0" xfId="0" applyFont="1" applyFill="1" applyAlignment="1" applyProtection="1">
      <alignment horizontal="center" vertical="center"/>
      <protection/>
    </xf>
    <xf numFmtId="0" fontId="29" fillId="33" borderId="0" xfId="0" applyFont="1" applyFill="1" applyAlignment="1" applyProtection="1">
      <alignment horizontal="center" vertical="center"/>
      <protection/>
    </xf>
    <xf numFmtId="0" fontId="29" fillId="50" borderId="0" xfId="0" applyFont="1" applyFill="1" applyAlignment="1" applyProtection="1">
      <alignment horizontal="center" vertical="center"/>
      <protection/>
    </xf>
    <xf numFmtId="0" fontId="29" fillId="33" borderId="0" xfId="0" applyFont="1" applyFill="1" applyBorder="1" applyAlignment="1" applyProtection="1">
      <alignment horizontal="center" vertical="center"/>
      <protection/>
    </xf>
    <xf numFmtId="0" fontId="30" fillId="50" borderId="0" xfId="0" applyFont="1" applyFill="1" applyAlignment="1" applyProtection="1">
      <alignment horizontal="center" vertical="center"/>
      <protection/>
    </xf>
    <xf numFmtId="0" fontId="30" fillId="36" borderId="0" xfId="0" applyFont="1" applyFill="1" applyAlignment="1" applyProtection="1">
      <alignment horizontal="center" vertical="center"/>
      <protection/>
    </xf>
    <xf numFmtId="0" fontId="23" fillId="50" borderId="0" xfId="0" applyFont="1" applyFill="1" applyAlignment="1" applyProtection="1">
      <alignment horizontal="center" vertical="center"/>
      <protection/>
    </xf>
    <xf numFmtId="0" fontId="31" fillId="50" borderId="55" xfId="0" applyFont="1" applyFill="1" applyBorder="1" applyAlignment="1" applyProtection="1">
      <alignment horizontal="center" vertical="center"/>
      <protection/>
    </xf>
    <xf numFmtId="0" fontId="31" fillId="50" borderId="0" xfId="0" applyFont="1" applyFill="1" applyAlignment="1" applyProtection="1">
      <alignment horizontal="center" vertical="center"/>
      <protection/>
    </xf>
    <xf numFmtId="178" fontId="31" fillId="50" borderId="56" xfId="0" applyNumberFormat="1" applyFont="1" applyFill="1" applyBorder="1" applyAlignment="1" applyProtection="1">
      <alignment horizontal="center" vertical="center"/>
      <protection/>
    </xf>
    <xf numFmtId="0" fontId="31" fillId="50" borderId="56" xfId="0" applyNumberFormat="1" applyFont="1" applyFill="1" applyBorder="1" applyAlignment="1" applyProtection="1">
      <alignment horizontal="center" vertical="center"/>
      <protection/>
    </xf>
    <xf numFmtId="0" fontId="31" fillId="50" borderId="57" xfId="0" applyFont="1" applyFill="1" applyBorder="1" applyAlignment="1" applyProtection="1">
      <alignment horizontal="center" vertical="center"/>
      <protection/>
    </xf>
    <xf numFmtId="0" fontId="0" fillId="50" borderId="0" xfId="0" applyFill="1" applyAlignment="1" applyProtection="1">
      <alignment horizontal="center" vertical="center"/>
      <protection/>
    </xf>
    <xf numFmtId="0" fontId="0" fillId="36" borderId="0" xfId="0" applyFill="1" applyAlignment="1" applyProtection="1">
      <alignment horizontal="center" vertical="center"/>
      <protection/>
    </xf>
    <xf numFmtId="0" fontId="32" fillId="50" borderId="0" xfId="0" applyFont="1" applyFill="1" applyAlignment="1" applyProtection="1">
      <alignment horizontal="center" vertical="top"/>
      <protection/>
    </xf>
    <xf numFmtId="0" fontId="33" fillId="50" borderId="0" xfId="0" applyFont="1" applyFill="1" applyAlignment="1" applyProtection="1">
      <alignment horizontal="center" vertical="top"/>
      <protection/>
    </xf>
    <xf numFmtId="0" fontId="34" fillId="50" borderId="0" xfId="0" applyFont="1" applyFill="1" applyAlignment="1" applyProtection="1">
      <alignment horizontal="center" vertical="top"/>
      <protection/>
    </xf>
    <xf numFmtId="0" fontId="32" fillId="36" borderId="0" xfId="0" applyFont="1" applyFill="1" applyAlignment="1" applyProtection="1">
      <alignment horizontal="center" vertical="top"/>
      <protection/>
    </xf>
    <xf numFmtId="49" fontId="13" fillId="44" borderId="10" xfId="0" applyNumberFormat="1" applyFont="1" applyFill="1" applyBorder="1" applyAlignment="1" applyProtection="1">
      <alignment horizontal="center" vertical="center"/>
      <protection/>
    </xf>
    <xf numFmtId="0" fontId="34" fillId="50" borderId="0" xfId="0" applyFont="1" applyFill="1" applyAlignment="1" applyProtection="1">
      <alignment vertical="center"/>
      <protection/>
    </xf>
    <xf numFmtId="0" fontId="34" fillId="36" borderId="0" xfId="0" applyFont="1" applyFill="1" applyAlignment="1" applyProtection="1">
      <alignment vertical="center"/>
      <protection/>
    </xf>
    <xf numFmtId="0" fontId="8" fillId="40" borderId="46" xfId="0" applyFont="1" applyFill="1" applyBorder="1" applyAlignment="1">
      <alignment horizontal="center" vertical="center"/>
    </xf>
    <xf numFmtId="0" fontId="8" fillId="38" borderId="46" xfId="0" applyFont="1" applyFill="1" applyBorder="1" applyAlignment="1">
      <alignment horizontal="center" vertical="center"/>
    </xf>
    <xf numFmtId="0" fontId="8" fillId="39" borderId="46" xfId="0" applyFont="1" applyFill="1" applyBorder="1" applyAlignment="1">
      <alignment horizontal="center" vertical="center"/>
    </xf>
    <xf numFmtId="0" fontId="8" fillId="40" borderId="31" xfId="0" applyFont="1" applyFill="1" applyBorder="1" applyAlignment="1">
      <alignment horizontal="center" vertical="center"/>
    </xf>
    <xf numFmtId="0" fontId="8" fillId="38" borderId="18" xfId="0" applyFont="1" applyFill="1" applyBorder="1" applyAlignment="1">
      <alignment horizontal="center" vertical="center"/>
    </xf>
    <xf numFmtId="0" fontId="8" fillId="39" borderId="18" xfId="0" applyFont="1" applyFill="1" applyBorder="1" applyAlignment="1">
      <alignment horizontal="center" vertical="center"/>
    </xf>
    <xf numFmtId="0" fontId="8" fillId="40" borderId="18" xfId="0" applyFont="1" applyFill="1" applyBorder="1" applyAlignment="1">
      <alignment horizontal="center" vertical="center"/>
    </xf>
    <xf numFmtId="177" fontId="15" fillId="0" borderId="14" xfId="0" applyNumberFormat="1" applyFont="1" applyBorder="1" applyAlignment="1">
      <alignment horizontal="center" vertical="center"/>
    </xf>
    <xf numFmtId="0" fontId="20" fillId="33" borderId="10" xfId="0" applyFont="1" applyFill="1" applyBorder="1" applyAlignment="1" applyProtection="1">
      <alignment horizontal="left" vertical="center"/>
      <protection/>
    </xf>
    <xf numFmtId="0" fontId="35" fillId="42" borderId="10" xfId="0" applyFont="1" applyFill="1" applyBorder="1" applyAlignment="1" applyProtection="1">
      <alignment horizontal="center" vertical="center"/>
      <protection/>
    </xf>
    <xf numFmtId="0" fontId="36" fillId="42" borderId="10" xfId="0" applyFont="1" applyFill="1" applyBorder="1" applyAlignment="1" applyProtection="1">
      <alignment horizontal="center" vertical="center"/>
      <protection/>
    </xf>
    <xf numFmtId="0" fontId="37" fillId="0" borderId="0" xfId="0" applyFont="1" applyFill="1" applyAlignment="1" applyProtection="1">
      <alignment horizontal="center" vertical="center"/>
      <protection/>
    </xf>
    <xf numFmtId="0" fontId="0" fillId="53" borderId="10" xfId="0" applyFill="1" applyBorder="1" applyAlignment="1" applyProtection="1">
      <alignment horizontal="center" vertical="center"/>
      <protection/>
    </xf>
    <xf numFmtId="0" fontId="0" fillId="53" borderId="10" xfId="0" applyFill="1" applyBorder="1" applyAlignment="1" applyProtection="1">
      <alignment vertical="center"/>
      <protection/>
    </xf>
    <xf numFmtId="0" fontId="3"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0" fillId="45" borderId="0" xfId="0" applyFill="1" applyAlignment="1" applyProtection="1">
      <alignment vertical="center"/>
      <protection/>
    </xf>
    <xf numFmtId="0" fontId="0" fillId="45" borderId="27" xfId="0" applyFill="1" applyBorder="1" applyAlignment="1" applyProtection="1">
      <alignment vertical="center"/>
      <protection/>
    </xf>
    <xf numFmtId="0" fontId="0" fillId="45" borderId="28" xfId="0" applyFill="1" applyBorder="1" applyAlignment="1" applyProtection="1">
      <alignment vertical="center"/>
      <protection/>
    </xf>
    <xf numFmtId="0" fontId="0" fillId="45" borderId="29" xfId="0" applyFill="1" applyBorder="1" applyAlignment="1" applyProtection="1">
      <alignment vertical="center"/>
      <protection/>
    </xf>
    <xf numFmtId="0" fontId="0" fillId="45" borderId="10" xfId="0" applyFill="1" applyBorder="1" applyAlignment="1" applyProtection="1">
      <alignment vertical="center"/>
      <protection/>
    </xf>
    <xf numFmtId="0" fontId="0" fillId="53" borderId="10" xfId="0" applyFill="1" applyBorder="1" applyAlignment="1" applyProtection="1">
      <alignment vertical="center"/>
      <protection locked="0"/>
    </xf>
    <xf numFmtId="0" fontId="0" fillId="53" borderId="12" xfId="0" applyFill="1" applyBorder="1" applyAlignment="1" applyProtection="1">
      <alignment horizontal="center" vertical="center"/>
      <protection/>
    </xf>
    <xf numFmtId="0" fontId="0" fillId="53" borderId="18" xfId="0" applyFill="1" applyBorder="1" applyAlignment="1" applyProtection="1">
      <alignment vertical="center"/>
      <protection locked="0"/>
    </xf>
    <xf numFmtId="0" fontId="0" fillId="53" borderId="14" xfId="0" applyFill="1" applyBorder="1" applyAlignment="1" applyProtection="1">
      <alignment horizontal="center" vertical="center"/>
      <protection/>
    </xf>
    <xf numFmtId="0" fontId="0" fillId="54" borderId="27" xfId="0" applyFill="1" applyBorder="1" applyAlignment="1" applyProtection="1">
      <alignment vertical="center"/>
      <protection/>
    </xf>
    <xf numFmtId="0" fontId="0" fillId="55" borderId="22" xfId="0" applyFill="1" applyBorder="1" applyAlignment="1" applyProtection="1">
      <alignment horizontal="center" vertical="center"/>
      <protection/>
    </xf>
    <xf numFmtId="0" fontId="0" fillId="55" borderId="23" xfId="0" applyFill="1" applyBorder="1" applyAlignment="1" applyProtection="1">
      <alignment horizontal="center" vertical="center"/>
      <protection/>
    </xf>
    <xf numFmtId="0" fontId="0" fillId="53" borderId="0" xfId="0" applyFill="1" applyAlignment="1" applyProtection="1">
      <alignment vertical="center"/>
      <protection/>
    </xf>
    <xf numFmtId="0" fontId="0" fillId="54" borderId="28" xfId="0" applyFill="1" applyBorder="1" applyAlignment="1" applyProtection="1">
      <alignment vertical="center"/>
      <protection/>
    </xf>
    <xf numFmtId="0" fontId="0" fillId="54" borderId="10" xfId="0" applyFill="1" applyBorder="1" applyAlignment="1" applyProtection="1">
      <alignment vertical="center"/>
      <protection/>
    </xf>
    <xf numFmtId="0" fontId="0" fillId="53" borderId="24" xfId="0" applyFill="1" applyBorder="1" applyAlignment="1" applyProtection="1">
      <alignment horizontal="center" vertical="center"/>
      <protection/>
    </xf>
    <xf numFmtId="0" fontId="0" fillId="54" borderId="0" xfId="0" applyFill="1" applyAlignment="1" applyProtection="1">
      <alignment vertical="center"/>
      <protection/>
    </xf>
    <xf numFmtId="0" fontId="0" fillId="55" borderId="10" xfId="0" applyFill="1" applyBorder="1" applyAlignment="1" applyProtection="1">
      <alignment horizontal="center" vertical="center"/>
      <protection/>
    </xf>
    <xf numFmtId="0" fontId="0" fillId="55" borderId="24" xfId="0" applyFill="1" applyBorder="1" applyAlignment="1" applyProtection="1">
      <alignment horizontal="center" vertical="center"/>
      <protection/>
    </xf>
    <xf numFmtId="0" fontId="0" fillId="53" borderId="10" xfId="0" applyFill="1" applyBorder="1" applyAlignment="1" applyProtection="1">
      <alignment vertical="center"/>
      <protection/>
    </xf>
    <xf numFmtId="0" fontId="0" fillId="54" borderId="29" xfId="0" applyFill="1" applyBorder="1" applyAlignment="1" applyProtection="1">
      <alignment vertical="center"/>
      <protection/>
    </xf>
    <xf numFmtId="0" fontId="0" fillId="53" borderId="25" xfId="0" applyFill="1" applyBorder="1" applyAlignment="1" applyProtection="1">
      <alignment vertical="center"/>
      <protection/>
    </xf>
    <xf numFmtId="0" fontId="0" fillId="53" borderId="25" xfId="0" applyFill="1" applyBorder="1" applyAlignment="1" applyProtection="1">
      <alignment vertical="center"/>
      <protection/>
    </xf>
    <xf numFmtId="0" fontId="0" fillId="53" borderId="26" xfId="0" applyFill="1" applyBorder="1" applyAlignment="1" applyProtection="1">
      <alignment horizontal="center" vertical="center"/>
      <protection/>
    </xf>
    <xf numFmtId="0" fontId="0" fillId="56" borderId="27" xfId="0" applyFill="1" applyBorder="1" applyAlignment="1" applyProtection="1">
      <alignment vertical="center"/>
      <protection/>
    </xf>
    <xf numFmtId="0" fontId="0" fillId="56" borderId="28" xfId="0" applyFill="1" applyBorder="1" applyAlignment="1" applyProtection="1">
      <alignment vertical="center"/>
      <protection/>
    </xf>
    <xf numFmtId="0" fontId="0" fillId="56" borderId="10" xfId="0" applyFill="1" applyBorder="1" applyAlignment="1" applyProtection="1">
      <alignment vertical="center"/>
      <protection/>
    </xf>
    <xf numFmtId="0" fontId="0" fillId="56" borderId="0" xfId="0" applyFill="1" applyAlignment="1" applyProtection="1">
      <alignment vertical="center"/>
      <protection/>
    </xf>
    <xf numFmtId="0" fontId="0" fillId="56" borderId="29" xfId="0" applyFill="1" applyBorder="1" applyAlignment="1" applyProtection="1">
      <alignment vertical="center"/>
      <protection/>
    </xf>
    <xf numFmtId="0" fontId="0" fillId="57" borderId="27" xfId="0" applyFill="1" applyBorder="1" applyAlignment="1" applyProtection="1">
      <alignment vertical="center"/>
      <protection/>
    </xf>
    <xf numFmtId="0" fontId="0" fillId="57" borderId="28" xfId="0" applyFill="1" applyBorder="1" applyAlignment="1" applyProtection="1">
      <alignment vertical="center"/>
      <protection/>
    </xf>
    <xf numFmtId="0" fontId="0" fillId="57" borderId="10" xfId="0" applyFill="1" applyBorder="1" applyAlignment="1" applyProtection="1">
      <alignment vertical="center"/>
      <protection/>
    </xf>
    <xf numFmtId="0" fontId="0" fillId="57" borderId="0" xfId="0" applyFill="1" applyAlignment="1" applyProtection="1">
      <alignment vertical="center"/>
      <protection/>
    </xf>
    <xf numFmtId="0" fontId="0" fillId="57" borderId="29" xfId="0" applyFill="1" applyBorder="1" applyAlignment="1" applyProtection="1">
      <alignment vertical="center"/>
      <protection/>
    </xf>
    <xf numFmtId="0" fontId="0" fillId="53" borderId="27" xfId="0" applyFill="1" applyBorder="1" applyAlignment="1" applyProtection="1">
      <alignment vertical="center"/>
      <protection/>
    </xf>
    <xf numFmtId="0" fontId="0" fillId="53" borderId="28" xfId="0" applyFill="1" applyBorder="1" applyAlignment="1" applyProtection="1">
      <alignment vertical="center"/>
      <protection/>
    </xf>
    <xf numFmtId="0" fontId="0" fillId="53" borderId="29" xfId="0" applyFill="1" applyBorder="1" applyAlignment="1" applyProtection="1">
      <alignment vertical="center"/>
      <protection/>
    </xf>
    <xf numFmtId="0" fontId="0" fillId="53" borderId="0" xfId="0" applyFill="1" applyAlignment="1" applyProtection="1">
      <alignment horizontal="center" vertical="center"/>
      <protection/>
    </xf>
    <xf numFmtId="0" fontId="0" fillId="34" borderId="0" xfId="0" applyFill="1" applyBorder="1" applyAlignment="1" applyProtection="1">
      <alignment horizontal="center" vertical="center"/>
      <protection/>
    </xf>
    <xf numFmtId="0" fontId="16" fillId="42" borderId="0" xfId="0" applyFont="1" applyFill="1" applyBorder="1" applyAlignment="1" applyProtection="1">
      <alignment horizontal="center" vertical="center"/>
      <protection/>
    </xf>
    <xf numFmtId="0" fontId="0" fillId="42" borderId="0"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38" fillId="39" borderId="10" xfId="0" applyFont="1" applyFill="1" applyBorder="1" applyAlignment="1" applyProtection="1">
      <alignment horizontal="center" vertical="center"/>
      <protection/>
    </xf>
    <xf numFmtId="0" fontId="38" fillId="39" borderId="25" xfId="0" applyFont="1" applyFill="1" applyBorder="1" applyAlignment="1" applyProtection="1">
      <alignment horizontal="center" vertical="center"/>
      <protection/>
    </xf>
    <xf numFmtId="0" fontId="38" fillId="39" borderId="38" xfId="0" applyFont="1" applyFill="1" applyBorder="1" applyAlignment="1" applyProtection="1">
      <alignment horizontal="center" vertical="center"/>
      <protection/>
    </xf>
    <xf numFmtId="0" fontId="0" fillId="33" borderId="10" xfId="0" applyFill="1" applyBorder="1" applyAlignment="1" applyProtection="1">
      <alignment horizontal="center" vertical="center"/>
      <protection locked="0"/>
    </xf>
    <xf numFmtId="0" fontId="0" fillId="33" borderId="25" xfId="0" applyFill="1" applyBorder="1" applyAlignment="1" applyProtection="1">
      <alignment horizontal="center" vertical="center"/>
      <protection locked="0"/>
    </xf>
    <xf numFmtId="0" fontId="0" fillId="33" borderId="38" xfId="0" applyFill="1" applyBorder="1" applyAlignment="1" applyProtection="1">
      <alignment horizontal="center" vertical="center"/>
      <protection locked="0"/>
    </xf>
    <xf numFmtId="0" fontId="0" fillId="35" borderId="16" xfId="0" applyFont="1" applyFill="1" applyBorder="1" applyAlignment="1" applyProtection="1">
      <alignment horizontal="center" vertical="center"/>
      <protection/>
    </xf>
    <xf numFmtId="0" fontId="0" fillId="35" borderId="18" xfId="0" applyFill="1" applyBorder="1" applyAlignment="1" applyProtection="1">
      <alignment horizontal="center" vertical="center"/>
      <protection/>
    </xf>
    <xf numFmtId="0" fontId="0" fillId="37" borderId="10" xfId="0" applyFill="1" applyBorder="1" applyAlignment="1" applyProtection="1">
      <alignment horizontal="center" vertical="center"/>
      <protection locked="0"/>
    </xf>
    <xf numFmtId="0" fontId="0" fillId="37" borderId="25" xfId="0" applyFill="1" applyBorder="1" applyAlignment="1" applyProtection="1">
      <alignment horizontal="center" vertical="center"/>
      <protection locked="0"/>
    </xf>
    <xf numFmtId="0" fontId="0" fillId="37" borderId="38" xfId="0" applyFill="1" applyBorder="1" applyAlignment="1" applyProtection="1">
      <alignment horizontal="center" vertical="center"/>
      <protection locked="0"/>
    </xf>
    <xf numFmtId="0" fontId="31" fillId="0" borderId="0" xfId="0" applyFont="1" applyFill="1" applyAlignment="1" applyProtection="1">
      <alignment horizontal="center" vertical="center"/>
      <protection/>
    </xf>
    <xf numFmtId="0" fontId="34" fillId="0" borderId="0" xfId="0" applyFont="1" applyFill="1" applyAlignment="1" applyProtection="1">
      <alignment vertical="center"/>
      <protection/>
    </xf>
    <xf numFmtId="0" fontId="34" fillId="0" borderId="0" xfId="0" applyFont="1" applyFill="1" applyAlignment="1" applyProtection="1">
      <alignment horizontal="center" vertical="top"/>
      <protection/>
    </xf>
    <xf numFmtId="0" fontId="0" fillId="0" borderId="0" xfId="0" applyFill="1" applyAlignment="1">
      <alignment vertical="center"/>
    </xf>
    <xf numFmtId="0" fontId="13" fillId="0" borderId="0" xfId="0" applyFont="1" applyFill="1" applyBorder="1" applyAlignment="1" applyProtection="1">
      <alignment horizontal="center" vertical="center"/>
      <protection/>
    </xf>
    <xf numFmtId="0" fontId="24"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0" fillId="36" borderId="36" xfId="0" applyFill="1" applyBorder="1" applyAlignment="1" applyProtection="1">
      <alignment horizontal="center" vertical="center"/>
      <protection/>
    </xf>
    <xf numFmtId="0" fontId="0" fillId="47" borderId="21"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3" fillId="45" borderId="15" xfId="0" applyFont="1" applyFill="1" applyBorder="1" applyAlignment="1" applyProtection="1">
      <alignment horizontal="center" vertical="center"/>
      <protection/>
    </xf>
    <xf numFmtId="0" fontId="3" fillId="0" borderId="58" xfId="0" applyFont="1" applyFill="1" applyBorder="1" applyAlignment="1" applyProtection="1">
      <alignment vertical="center"/>
      <protection/>
    </xf>
    <xf numFmtId="0" fontId="3" fillId="0" borderId="58" xfId="0" applyFont="1" applyBorder="1" applyAlignment="1" applyProtection="1">
      <alignment horizontal="center" vertical="center"/>
      <protection/>
    </xf>
    <xf numFmtId="0" fontId="3" fillId="49" borderId="58" xfId="0" applyFont="1" applyFill="1" applyBorder="1" applyAlignment="1" applyProtection="1">
      <alignment horizontal="center" vertical="center"/>
      <protection/>
    </xf>
    <xf numFmtId="0" fontId="3" fillId="49" borderId="59" xfId="0" applyFont="1" applyFill="1" applyBorder="1" applyAlignment="1" applyProtection="1">
      <alignment vertical="center"/>
      <protection/>
    </xf>
    <xf numFmtId="0" fontId="3" fillId="0" borderId="17" xfId="0" applyFont="1" applyBorder="1" applyAlignment="1" applyProtection="1">
      <alignment horizontal="center" vertical="center"/>
      <protection/>
    </xf>
    <xf numFmtId="0" fontId="3" fillId="40" borderId="11" xfId="0" applyFont="1" applyFill="1" applyBorder="1" applyAlignment="1" applyProtection="1">
      <alignment horizontal="center" vertical="center"/>
      <protection/>
    </xf>
    <xf numFmtId="0" fontId="3" fillId="0" borderId="10" xfId="0" applyFont="1" applyFill="1" applyBorder="1" applyAlignment="1" applyProtection="1">
      <alignment vertical="center"/>
      <protection/>
    </xf>
    <xf numFmtId="0" fontId="3" fillId="0" borderId="10" xfId="0" applyFont="1" applyBorder="1" applyAlignment="1" applyProtection="1">
      <alignment horizontal="center" vertical="center"/>
      <protection/>
    </xf>
    <xf numFmtId="0" fontId="3" fillId="49" borderId="10" xfId="0" applyFont="1" applyFill="1" applyBorder="1" applyAlignment="1" applyProtection="1">
      <alignment horizontal="center" vertical="center"/>
      <protection/>
    </xf>
    <xf numFmtId="0" fontId="3" fillId="49" borderId="19" xfId="0" applyFont="1" applyFill="1" applyBorder="1" applyAlignment="1" applyProtection="1">
      <alignment vertical="center"/>
      <protection/>
    </xf>
    <xf numFmtId="0" fontId="3" fillId="0" borderId="32" xfId="0" applyFont="1" applyBorder="1" applyAlignment="1" applyProtection="1">
      <alignment horizontal="center" vertical="center"/>
      <protection/>
    </xf>
    <xf numFmtId="0" fontId="3" fillId="38" borderId="11" xfId="0" applyFont="1" applyFill="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39" borderId="11" xfId="0" applyFont="1" applyFill="1" applyBorder="1" applyAlignment="1" applyProtection="1">
      <alignment horizontal="center" vertical="center"/>
      <protection/>
    </xf>
    <xf numFmtId="0" fontId="3" fillId="54" borderId="11" xfId="0" applyFont="1" applyFill="1" applyBorder="1" applyAlignment="1" applyProtection="1">
      <alignment horizontal="center" vertical="center"/>
      <protection/>
    </xf>
    <xf numFmtId="0" fontId="3" fillId="53" borderId="10" xfId="0" applyFont="1" applyFill="1" applyBorder="1" applyAlignment="1" applyProtection="1">
      <alignment vertical="center"/>
      <protection/>
    </xf>
    <xf numFmtId="0" fontId="3" fillId="53" borderId="10" xfId="0" applyFont="1" applyFill="1" applyBorder="1" applyAlignment="1" applyProtection="1">
      <alignment horizontal="center" vertical="center"/>
      <protection/>
    </xf>
    <xf numFmtId="0" fontId="3" fillId="58" borderId="10" xfId="0" applyFont="1" applyFill="1" applyBorder="1" applyAlignment="1" applyProtection="1">
      <alignment horizontal="center" vertical="center"/>
      <protection/>
    </xf>
    <xf numFmtId="0" fontId="3" fillId="58" borderId="19" xfId="0" applyFont="1" applyFill="1" applyBorder="1" applyAlignment="1" applyProtection="1">
      <alignment vertical="center"/>
      <protection/>
    </xf>
    <xf numFmtId="0" fontId="3" fillId="53" borderId="12" xfId="0" applyFont="1" applyFill="1" applyBorder="1" applyAlignment="1" applyProtection="1">
      <alignment horizontal="center" vertical="center"/>
      <protection/>
    </xf>
    <xf numFmtId="0" fontId="3" fillId="56" borderId="11" xfId="0" applyFont="1" applyFill="1" applyBorder="1" applyAlignment="1" applyProtection="1">
      <alignment horizontal="center" vertical="center"/>
      <protection/>
    </xf>
    <xf numFmtId="0" fontId="3" fillId="57" borderId="11" xfId="0" applyFont="1" applyFill="1" applyBorder="1" applyAlignment="1" applyProtection="1">
      <alignment horizontal="center" vertical="center"/>
      <protection/>
    </xf>
    <xf numFmtId="0" fontId="3" fillId="53" borderId="13" xfId="0" applyFont="1" applyFill="1" applyBorder="1" applyAlignment="1" applyProtection="1">
      <alignment horizontal="center" vertical="center"/>
      <protection/>
    </xf>
    <xf numFmtId="0" fontId="3" fillId="53" borderId="18" xfId="0" applyFont="1" applyFill="1" applyBorder="1" applyAlignment="1" applyProtection="1">
      <alignment vertical="center"/>
      <protection/>
    </xf>
    <xf numFmtId="0" fontId="3" fillId="53" borderId="60" xfId="0" applyFont="1" applyFill="1" applyBorder="1" applyAlignment="1" applyProtection="1">
      <alignment horizontal="center" vertical="center"/>
      <protection/>
    </xf>
    <xf numFmtId="0" fontId="3" fillId="58" borderId="60" xfId="0" applyFont="1" applyFill="1" applyBorder="1" applyAlignment="1" applyProtection="1">
      <alignment horizontal="center" vertical="center"/>
      <protection/>
    </xf>
    <xf numFmtId="0" fontId="3" fillId="58" borderId="61" xfId="0" applyFont="1" applyFill="1" applyBorder="1" applyAlignment="1" applyProtection="1">
      <alignment vertical="center"/>
      <protection/>
    </xf>
    <xf numFmtId="0" fontId="3" fillId="53" borderId="14" xfId="0" applyFont="1" applyFill="1" applyBorder="1" applyAlignment="1" applyProtection="1">
      <alignment horizontal="center" vertical="center"/>
      <protection/>
    </xf>
    <xf numFmtId="0" fontId="3" fillId="0" borderId="60" xfId="0" applyFont="1" applyBorder="1" applyAlignment="1" applyProtection="1">
      <alignment horizontal="center" vertical="center"/>
      <protection/>
    </xf>
    <xf numFmtId="0" fontId="3" fillId="49" borderId="60" xfId="0" applyFont="1" applyFill="1" applyBorder="1" applyAlignment="1" applyProtection="1">
      <alignment horizontal="center" vertical="center"/>
      <protection/>
    </xf>
    <xf numFmtId="0" fontId="3" fillId="49" borderId="60" xfId="0" applyFont="1" applyFill="1" applyBorder="1" applyAlignment="1" applyProtection="1">
      <alignment vertical="center"/>
      <protection/>
    </xf>
    <xf numFmtId="0" fontId="3" fillId="0" borderId="62" xfId="0" applyFont="1" applyBorder="1" applyAlignment="1" applyProtection="1">
      <alignment horizontal="center" vertical="center"/>
      <protection/>
    </xf>
    <xf numFmtId="0" fontId="0" fillId="0" borderId="0" xfId="0" applyFill="1" applyBorder="1" applyAlignment="1">
      <alignment vertical="center"/>
    </xf>
    <xf numFmtId="0" fontId="3" fillId="40" borderId="0" xfId="0" applyFont="1" applyFill="1" applyAlignment="1" applyProtection="1">
      <alignment horizontal="center" vertical="center"/>
      <protection/>
    </xf>
    <xf numFmtId="0" fontId="3" fillId="0" borderId="0" xfId="0" applyFont="1" applyAlignment="1" applyProtection="1">
      <alignment horizontal="right" vertical="center"/>
      <protection/>
    </xf>
    <xf numFmtId="0" fontId="3" fillId="0" borderId="0" xfId="0" applyFont="1" applyBorder="1" applyAlignment="1" applyProtection="1">
      <alignment vertical="center"/>
      <protection/>
    </xf>
    <xf numFmtId="0" fontId="10" fillId="36" borderId="63" xfId="0" applyFont="1" applyFill="1" applyBorder="1" applyAlignment="1" applyProtection="1">
      <alignment horizontal="center" vertical="center"/>
      <protection/>
    </xf>
    <xf numFmtId="0" fontId="10" fillId="36" borderId="49" xfId="0" applyFont="1" applyFill="1" applyBorder="1" applyAlignment="1" applyProtection="1">
      <alignment vertical="center"/>
      <protection/>
    </xf>
    <xf numFmtId="0" fontId="3" fillId="38" borderId="63" xfId="0" applyFont="1" applyFill="1" applyBorder="1" applyAlignment="1" applyProtection="1">
      <alignment vertical="center"/>
      <protection/>
    </xf>
    <xf numFmtId="0" fontId="3" fillId="38" borderId="64" xfId="0" applyFont="1" applyFill="1" applyBorder="1" applyAlignment="1" applyProtection="1">
      <alignment vertical="center"/>
      <protection/>
    </xf>
    <xf numFmtId="176" fontId="10" fillId="0" borderId="43" xfId="0" applyNumberFormat="1" applyFont="1" applyBorder="1" applyAlignment="1" applyProtection="1">
      <alignment vertical="center"/>
      <protection/>
    </xf>
    <xf numFmtId="176" fontId="10" fillId="0" borderId="64" xfId="0" applyNumberFormat="1" applyFont="1" applyBorder="1" applyAlignment="1" applyProtection="1">
      <alignment vertical="center"/>
      <protection/>
    </xf>
    <xf numFmtId="177" fontId="10" fillId="0" borderId="43" xfId="0" applyNumberFormat="1" applyFont="1" applyBorder="1" applyAlignment="1" applyProtection="1">
      <alignment vertical="center"/>
      <protection/>
    </xf>
    <xf numFmtId="176" fontId="10" fillId="0" borderId="43" xfId="0" applyNumberFormat="1" applyFont="1" applyBorder="1" applyAlignment="1" applyProtection="1">
      <alignment horizontal="center" vertical="center"/>
      <protection/>
    </xf>
    <xf numFmtId="0" fontId="3" fillId="39" borderId="63" xfId="0" applyFont="1" applyFill="1" applyBorder="1" applyAlignment="1" applyProtection="1">
      <alignment vertical="center"/>
      <protection/>
    </xf>
    <xf numFmtId="0" fontId="3" fillId="39" borderId="64" xfId="0" applyFont="1" applyFill="1" applyBorder="1" applyAlignment="1" applyProtection="1">
      <alignment vertical="center"/>
      <protection/>
    </xf>
    <xf numFmtId="0" fontId="3" fillId="0" borderId="0" xfId="0" applyFont="1" applyAlignment="1" applyProtection="1">
      <alignment vertical="center"/>
      <protection/>
    </xf>
    <xf numFmtId="178" fontId="3" fillId="0" borderId="0" xfId="0" applyNumberFormat="1" applyFont="1" applyBorder="1" applyAlignment="1" applyProtection="1">
      <alignment horizontal="center" vertical="center"/>
      <protection/>
    </xf>
    <xf numFmtId="0" fontId="3" fillId="38" borderId="65" xfId="0" applyFont="1" applyFill="1" applyBorder="1" applyAlignment="1" applyProtection="1">
      <alignment horizontal="center" vertical="center"/>
      <protection/>
    </xf>
    <xf numFmtId="0" fontId="3" fillId="38" borderId="66" xfId="0" applyFont="1" applyFill="1" applyBorder="1" applyAlignment="1" applyProtection="1">
      <alignment horizontal="center" vertical="center"/>
      <protection/>
    </xf>
    <xf numFmtId="0" fontId="3" fillId="38" borderId="67" xfId="0" applyFont="1" applyFill="1" applyBorder="1" applyAlignment="1" applyProtection="1">
      <alignment horizontal="center" vertical="center"/>
      <protection/>
    </xf>
    <xf numFmtId="176" fontId="10" fillId="0" borderId="0" xfId="0" applyNumberFormat="1" applyFont="1" applyBorder="1" applyAlignment="1" applyProtection="1">
      <alignment horizontal="center" vertical="center"/>
      <protection/>
    </xf>
    <xf numFmtId="0" fontId="3" fillId="38" borderId="0" xfId="0" applyFont="1" applyFill="1" applyBorder="1" applyAlignment="1" applyProtection="1">
      <alignment horizontal="center" vertical="center"/>
      <protection/>
    </xf>
    <xf numFmtId="0" fontId="3" fillId="38" borderId="68" xfId="0" applyFont="1" applyFill="1" applyBorder="1" applyAlignment="1" applyProtection="1">
      <alignment horizontal="center" vertical="center"/>
      <protection/>
    </xf>
    <xf numFmtId="0" fontId="3" fillId="38" borderId="69" xfId="0" applyFont="1" applyFill="1" applyBorder="1" applyAlignment="1" applyProtection="1">
      <alignment horizontal="center" vertical="center"/>
      <protection/>
    </xf>
    <xf numFmtId="0" fontId="3" fillId="39" borderId="66" xfId="0" applyFont="1" applyFill="1" applyBorder="1" applyAlignment="1" applyProtection="1">
      <alignment horizontal="center" vertical="center"/>
      <protection/>
    </xf>
    <xf numFmtId="0" fontId="3" fillId="39" borderId="65" xfId="0" applyFont="1" applyFill="1" applyBorder="1" applyAlignment="1" applyProtection="1">
      <alignment horizontal="center" vertical="center"/>
      <protection/>
    </xf>
    <xf numFmtId="0" fontId="3" fillId="39" borderId="67" xfId="0" applyFont="1" applyFill="1" applyBorder="1" applyAlignment="1" applyProtection="1">
      <alignment horizontal="center" vertical="center"/>
      <protection/>
    </xf>
    <xf numFmtId="0" fontId="3" fillId="39" borderId="68" xfId="0" applyFont="1" applyFill="1" applyBorder="1" applyAlignment="1" applyProtection="1">
      <alignment horizontal="center" vertical="center"/>
      <protection/>
    </xf>
    <xf numFmtId="0" fontId="3" fillId="39" borderId="0" xfId="0" applyFont="1" applyFill="1" applyBorder="1" applyAlignment="1" applyProtection="1">
      <alignment horizontal="center" vertical="center"/>
      <protection/>
    </xf>
    <xf numFmtId="0" fontId="3" fillId="39" borderId="69" xfId="0" applyFont="1" applyFill="1" applyBorder="1" applyAlignment="1" applyProtection="1">
      <alignment horizontal="center" vertical="center"/>
      <protection/>
    </xf>
    <xf numFmtId="0" fontId="3" fillId="38" borderId="70" xfId="0" applyFont="1" applyFill="1" applyBorder="1" applyAlignment="1" applyProtection="1">
      <alignment horizontal="center" vertical="center"/>
      <protection/>
    </xf>
    <xf numFmtId="0" fontId="3" fillId="38" borderId="71" xfId="0" applyFont="1" applyFill="1" applyBorder="1" applyAlignment="1" applyProtection="1">
      <alignment horizontal="center" vertical="center"/>
      <protection/>
    </xf>
    <xf numFmtId="0" fontId="3" fillId="38" borderId="54" xfId="0" applyFont="1" applyFill="1" applyBorder="1" applyAlignment="1" applyProtection="1">
      <alignment horizontal="center" vertical="center"/>
      <protection/>
    </xf>
    <xf numFmtId="0" fontId="3" fillId="39" borderId="70" xfId="0" applyFont="1" applyFill="1" applyBorder="1" applyAlignment="1" applyProtection="1">
      <alignment horizontal="center" vertical="center"/>
      <protection/>
    </xf>
    <xf numFmtId="0" fontId="3" fillId="39" borderId="71" xfId="0" applyFont="1" applyFill="1" applyBorder="1" applyAlignment="1" applyProtection="1">
      <alignment horizontal="center" vertical="center"/>
      <protection/>
    </xf>
    <xf numFmtId="0" fontId="3" fillId="39" borderId="54" xfId="0" applyFont="1" applyFill="1" applyBorder="1" applyAlignment="1" applyProtection="1">
      <alignment horizontal="center" vertical="center"/>
      <protection/>
    </xf>
    <xf numFmtId="176" fontId="3" fillId="0" borderId="0" xfId="0" applyNumberFormat="1" applyFont="1" applyBorder="1" applyAlignment="1" applyProtection="1">
      <alignment horizontal="center" vertical="center"/>
      <protection/>
    </xf>
    <xf numFmtId="0" fontId="3"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177" fontId="3" fillId="0" borderId="0" xfId="0" applyNumberFormat="1" applyFont="1" applyFill="1" applyBorder="1" applyAlignment="1" applyProtection="1">
      <alignment horizontal="center" vertical="center"/>
      <protection/>
    </xf>
    <xf numFmtId="176" fontId="3" fillId="40" borderId="43" xfId="0" applyNumberFormat="1" applyFont="1" applyFill="1" applyBorder="1" applyAlignment="1" applyProtection="1">
      <alignment vertical="center"/>
      <protection/>
    </xf>
    <xf numFmtId="176" fontId="3" fillId="0" borderId="43" xfId="0" applyNumberFormat="1" applyFont="1" applyBorder="1" applyAlignment="1" applyProtection="1">
      <alignment horizontal="center" vertical="center"/>
      <protection/>
    </xf>
    <xf numFmtId="176" fontId="3" fillId="0" borderId="0" xfId="0" applyNumberFormat="1" applyFont="1" applyBorder="1" applyAlignment="1" applyProtection="1">
      <alignment horizontal="left" vertical="center"/>
      <protection/>
    </xf>
    <xf numFmtId="176" fontId="3" fillId="0" borderId="0" xfId="0" applyNumberFormat="1" applyFont="1" applyFill="1" applyBorder="1" applyAlignment="1" applyProtection="1">
      <alignment vertical="center"/>
      <protection/>
    </xf>
    <xf numFmtId="176" fontId="3" fillId="0" borderId="0" xfId="0" applyNumberFormat="1" applyFont="1" applyBorder="1" applyAlignment="1" applyProtection="1" quotePrefix="1">
      <alignment horizontal="center" vertical="center"/>
      <protection/>
    </xf>
    <xf numFmtId="177" fontId="3" fillId="0" borderId="0" xfId="0" applyNumberFormat="1" applyFont="1" applyFill="1" applyBorder="1" applyAlignment="1" applyProtection="1">
      <alignment vertical="center"/>
      <protection/>
    </xf>
    <xf numFmtId="0" fontId="3" fillId="0" borderId="43" xfId="0" applyFont="1" applyBorder="1" applyAlignment="1" applyProtection="1">
      <alignment vertical="center"/>
      <protection/>
    </xf>
    <xf numFmtId="0" fontId="3" fillId="40" borderId="43" xfId="0" applyFont="1" applyFill="1" applyBorder="1" applyAlignment="1" applyProtection="1">
      <alignment vertical="center"/>
      <protection/>
    </xf>
    <xf numFmtId="0" fontId="3" fillId="0" borderId="0" xfId="0" applyFont="1" applyBorder="1" applyAlignment="1" applyProtection="1">
      <alignment horizontal="center" vertical="center"/>
      <protection/>
    </xf>
    <xf numFmtId="0" fontId="3" fillId="40" borderId="43" xfId="0" applyFont="1" applyFill="1" applyBorder="1" applyAlignment="1" applyProtection="1">
      <alignment horizontal="center" vertical="center"/>
      <protection/>
    </xf>
    <xf numFmtId="0" fontId="8" fillId="46" borderId="46" xfId="0" applyFont="1" applyFill="1" applyBorder="1" applyAlignment="1">
      <alignment horizontal="center" vertical="center"/>
    </xf>
    <xf numFmtId="0" fontId="8" fillId="46" borderId="31" xfId="0" applyFont="1" applyFill="1" applyBorder="1" applyAlignment="1">
      <alignment horizontal="center" vertical="center"/>
    </xf>
    <xf numFmtId="0" fontId="3" fillId="0" borderId="11" xfId="0" applyFont="1" applyBorder="1" applyAlignment="1" quotePrefix="1">
      <alignment horizontal="center" vertical="center"/>
    </xf>
    <xf numFmtId="0" fontId="3" fillId="0" borderId="10" xfId="0" applyFont="1" applyBorder="1" applyAlignment="1">
      <alignment vertical="center"/>
    </xf>
    <xf numFmtId="0" fontId="3" fillId="0" borderId="13" xfId="0" applyFont="1" applyBorder="1" applyAlignment="1" quotePrefix="1">
      <alignment horizontal="center" vertical="center"/>
    </xf>
    <xf numFmtId="0" fontId="3" fillId="0" borderId="18" xfId="0" applyFont="1" applyBorder="1" applyAlignment="1">
      <alignment vertical="center"/>
    </xf>
    <xf numFmtId="178" fontId="0" fillId="59" borderId="10" xfId="0" applyNumberFormat="1" applyFill="1" applyBorder="1" applyAlignment="1" applyProtection="1">
      <alignment vertical="center"/>
      <protection locked="0"/>
    </xf>
    <xf numFmtId="0" fontId="0" fillId="59" borderId="10" xfId="0" applyFill="1" applyBorder="1" applyAlignment="1" applyProtection="1">
      <alignment horizontal="center" vertical="center"/>
      <protection locked="0"/>
    </xf>
    <xf numFmtId="0" fontId="0" fillId="60" borderId="38" xfId="0" applyFill="1" applyBorder="1" applyAlignment="1" applyProtection="1">
      <alignment horizontal="center" vertical="center"/>
      <protection locked="0"/>
    </xf>
    <xf numFmtId="0" fontId="0" fillId="60" borderId="25" xfId="0" applyFill="1" applyBorder="1" applyAlignment="1" applyProtection="1">
      <alignment horizontal="center" vertical="center"/>
      <protection locked="0"/>
    </xf>
    <xf numFmtId="178" fontId="0" fillId="59" borderId="25" xfId="0" applyNumberFormat="1" applyFill="1" applyBorder="1" applyAlignment="1" applyProtection="1">
      <alignment vertical="center"/>
      <protection locked="0"/>
    </xf>
    <xf numFmtId="0" fontId="0" fillId="0" borderId="0" xfId="0" applyFont="1" applyFill="1" applyBorder="1" applyAlignment="1" applyProtection="1">
      <alignment vertical="center"/>
      <protection/>
    </xf>
    <xf numFmtId="0" fontId="11" fillId="50" borderId="0" xfId="0" applyFont="1" applyFill="1" applyAlignment="1" applyProtection="1">
      <alignment vertical="center"/>
      <protection/>
    </xf>
    <xf numFmtId="0" fontId="11" fillId="5" borderId="0" xfId="0" applyFont="1" applyFill="1" applyAlignment="1" applyProtection="1">
      <alignment horizontal="center" vertical="center"/>
      <protection/>
    </xf>
    <xf numFmtId="0" fontId="11" fillId="39" borderId="72" xfId="0" applyFont="1" applyFill="1" applyBorder="1" applyAlignment="1" applyProtection="1">
      <alignment horizontal="center" vertical="center"/>
      <protection locked="0"/>
    </xf>
    <xf numFmtId="0" fontId="0" fillId="52" borderId="39" xfId="0" applyFill="1" applyBorder="1" applyAlignment="1" applyProtection="1">
      <alignment horizontal="center" vertical="center"/>
      <protection/>
    </xf>
    <xf numFmtId="0" fontId="0" fillId="48" borderId="46" xfId="0" applyFill="1" applyBorder="1" applyAlignment="1" applyProtection="1">
      <alignment horizontal="center" vertical="center"/>
      <protection/>
    </xf>
    <xf numFmtId="0" fontId="0" fillId="36" borderId="34" xfId="0" applyFill="1" applyBorder="1" applyAlignment="1" applyProtection="1">
      <alignment horizontal="center" vertical="center"/>
      <protection/>
    </xf>
    <xf numFmtId="0" fontId="0" fillId="48" borderId="13" xfId="0" applyFill="1" applyBorder="1" applyAlignment="1" applyProtection="1">
      <alignment horizontal="center" vertical="center"/>
      <protection/>
    </xf>
    <xf numFmtId="0" fontId="0" fillId="47" borderId="31"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178" fontId="0" fillId="61" borderId="10" xfId="0" applyNumberFormat="1" applyFill="1" applyBorder="1" applyAlignment="1" applyProtection="1">
      <alignment vertical="center"/>
      <protection locked="0"/>
    </xf>
    <xf numFmtId="0" fontId="0" fillId="61" borderId="10" xfId="0" applyFill="1" applyBorder="1" applyAlignment="1" applyProtection="1">
      <alignment horizontal="center" vertical="center"/>
      <protection locked="0"/>
    </xf>
    <xf numFmtId="178" fontId="0" fillId="61" borderId="25" xfId="0" applyNumberFormat="1" applyFill="1" applyBorder="1" applyAlignment="1" applyProtection="1">
      <alignment vertical="center"/>
      <protection locked="0"/>
    </xf>
    <xf numFmtId="0" fontId="0" fillId="61" borderId="25" xfId="0" applyFill="1" applyBorder="1" applyAlignment="1" applyProtection="1">
      <alignment horizontal="center" vertical="center"/>
      <protection locked="0"/>
    </xf>
    <xf numFmtId="178" fontId="0" fillId="61" borderId="38" xfId="0" applyNumberFormat="1" applyFill="1" applyBorder="1" applyAlignment="1" applyProtection="1">
      <alignment vertical="center"/>
      <protection locked="0"/>
    </xf>
    <xf numFmtId="0" fontId="0" fillId="61" borderId="38" xfId="0" applyFill="1" applyBorder="1" applyAlignment="1" applyProtection="1">
      <alignment horizontal="center" vertical="center"/>
      <protection locked="0"/>
    </xf>
    <xf numFmtId="49" fontId="0" fillId="0" borderId="19" xfId="0" applyNumberFormat="1" applyBorder="1" applyAlignment="1" applyProtection="1">
      <alignment vertical="center"/>
      <protection/>
    </xf>
    <xf numFmtId="49" fontId="0" fillId="0" borderId="20" xfId="0" applyNumberFormat="1" applyBorder="1" applyAlignment="1" applyProtection="1">
      <alignment vertical="center"/>
      <protection/>
    </xf>
    <xf numFmtId="49" fontId="0" fillId="0" borderId="73" xfId="0" applyNumberFormat="1" applyBorder="1" applyAlignment="1" applyProtection="1">
      <alignment vertical="center"/>
      <protection/>
    </xf>
    <xf numFmtId="49" fontId="0" fillId="0" borderId="11" xfId="0" applyNumberFormat="1" applyBorder="1" applyAlignment="1" applyProtection="1">
      <alignment vertical="center"/>
      <protection/>
    </xf>
    <xf numFmtId="49" fontId="0" fillId="0" borderId="10" xfId="0" applyNumberFormat="1" applyBorder="1" applyAlignment="1" applyProtection="1">
      <alignment vertical="center"/>
      <protection/>
    </xf>
    <xf numFmtId="49" fontId="0" fillId="0" borderId="19" xfId="0" applyNumberFormat="1" applyBorder="1" applyAlignment="1" applyProtection="1">
      <alignment horizontal="center" vertical="center"/>
      <protection/>
    </xf>
    <xf numFmtId="49" fontId="0" fillId="0" borderId="21" xfId="0" applyNumberFormat="1" applyBorder="1" applyAlignment="1" applyProtection="1">
      <alignment horizontal="center" vertical="center"/>
      <protection/>
    </xf>
    <xf numFmtId="49" fontId="0" fillId="0" borderId="74" xfId="0" applyNumberFormat="1" applyBorder="1" applyAlignment="1" applyProtection="1">
      <alignment vertical="center"/>
      <protection/>
    </xf>
    <xf numFmtId="49" fontId="0" fillId="0" borderId="75" xfId="0" applyNumberFormat="1" applyBorder="1" applyAlignment="1" applyProtection="1">
      <alignment vertical="center"/>
      <protection/>
    </xf>
    <xf numFmtId="49" fontId="0" fillId="0" borderId="76" xfId="0" applyNumberFormat="1" applyBorder="1" applyAlignment="1" applyProtection="1">
      <alignment vertical="center"/>
      <protection/>
    </xf>
    <xf numFmtId="49" fontId="0" fillId="37" borderId="48" xfId="0" applyNumberFormat="1" applyFill="1" applyBorder="1" applyAlignment="1" applyProtection="1">
      <alignment horizontal="center" vertical="center"/>
      <protection/>
    </xf>
    <xf numFmtId="49" fontId="0" fillId="37" borderId="64" xfId="0" applyNumberFormat="1" applyFill="1" applyBorder="1" applyAlignment="1" applyProtection="1">
      <alignment horizontal="center" vertical="center"/>
      <protection/>
    </xf>
    <xf numFmtId="49" fontId="0" fillId="37" borderId="77" xfId="0" applyNumberFormat="1" applyFill="1" applyBorder="1" applyAlignment="1" applyProtection="1">
      <alignment horizontal="center" vertical="center"/>
      <protection/>
    </xf>
    <xf numFmtId="49" fontId="0" fillId="37" borderId="44" xfId="0" applyNumberFormat="1" applyFill="1" applyBorder="1" applyAlignment="1" applyProtection="1">
      <alignment horizontal="center" vertical="center"/>
      <protection/>
    </xf>
    <xf numFmtId="49" fontId="0" fillId="39" borderId="19" xfId="0" applyNumberFormat="1" applyFill="1" applyBorder="1" applyAlignment="1" applyProtection="1">
      <alignment vertical="center"/>
      <protection/>
    </xf>
    <xf numFmtId="49" fontId="0" fillId="39" borderId="20" xfId="0" applyNumberFormat="1" applyFill="1" applyBorder="1" applyAlignment="1" applyProtection="1">
      <alignment vertical="center"/>
      <protection/>
    </xf>
    <xf numFmtId="49" fontId="0" fillId="39" borderId="73" xfId="0" applyNumberFormat="1" applyFill="1" applyBorder="1" applyAlignment="1" applyProtection="1">
      <alignment vertical="center"/>
      <protection/>
    </xf>
    <xf numFmtId="49" fontId="0" fillId="0" borderId="74" xfId="0" applyNumberFormat="1" applyBorder="1" applyAlignment="1" applyProtection="1">
      <alignment horizontal="center" vertical="center"/>
      <protection/>
    </xf>
    <xf numFmtId="49" fontId="0" fillId="0" borderId="31" xfId="0" applyNumberFormat="1" applyBorder="1" applyAlignment="1" applyProtection="1">
      <alignment horizontal="center" vertical="center"/>
      <protection/>
    </xf>
    <xf numFmtId="49" fontId="0" fillId="0" borderId="78" xfId="0" applyNumberFormat="1" applyBorder="1" applyAlignment="1" applyProtection="1">
      <alignment vertical="center"/>
      <protection/>
    </xf>
    <xf numFmtId="49" fontId="0" fillId="0" borderId="79" xfId="0" applyNumberFormat="1" applyBorder="1" applyAlignment="1" applyProtection="1">
      <alignment vertical="center"/>
      <protection/>
    </xf>
    <xf numFmtId="49" fontId="0" fillId="0" borderId="80" xfId="0" applyNumberFormat="1" applyBorder="1" applyAlignment="1" applyProtection="1">
      <alignment vertical="center"/>
      <protection/>
    </xf>
    <xf numFmtId="49" fontId="0" fillId="0" borderId="13" xfId="0" applyNumberFormat="1" applyBorder="1" applyAlignment="1" applyProtection="1">
      <alignment vertical="center"/>
      <protection/>
    </xf>
    <xf numFmtId="49" fontId="0" fillId="0" borderId="18" xfId="0" applyNumberFormat="1" applyBorder="1" applyAlignment="1" applyProtection="1">
      <alignment vertical="center"/>
      <protection/>
    </xf>
    <xf numFmtId="49" fontId="0" fillId="39" borderId="19" xfId="0" applyNumberFormat="1" applyFill="1" applyBorder="1" applyAlignment="1" applyProtection="1">
      <alignment horizontal="center" vertical="center"/>
      <protection/>
    </xf>
    <xf numFmtId="49" fontId="0" fillId="39" borderId="21" xfId="0" applyNumberFormat="1" applyFill="1" applyBorder="1" applyAlignment="1" applyProtection="1">
      <alignment horizontal="center" vertical="center"/>
      <protection/>
    </xf>
    <xf numFmtId="49" fontId="0" fillId="37" borderId="19" xfId="0" applyNumberFormat="1" applyFill="1" applyBorder="1" applyAlignment="1" applyProtection="1">
      <alignment horizontal="center" vertical="center"/>
      <protection/>
    </xf>
    <xf numFmtId="49" fontId="0" fillId="37" borderId="20" xfId="0" applyNumberFormat="1" applyFill="1" applyBorder="1" applyAlignment="1" applyProtection="1">
      <alignment horizontal="center" vertical="center"/>
      <protection/>
    </xf>
    <xf numFmtId="49" fontId="0" fillId="37" borderId="21" xfId="0" applyNumberFormat="1" applyFill="1" applyBorder="1" applyAlignment="1" applyProtection="1">
      <alignment horizontal="center" vertical="center"/>
      <protection/>
    </xf>
    <xf numFmtId="49" fontId="0" fillId="39" borderId="41" xfId="0" applyNumberFormat="1" applyFill="1" applyBorder="1" applyAlignment="1" applyProtection="1">
      <alignment vertical="center"/>
      <protection/>
    </xf>
    <xf numFmtId="49" fontId="0" fillId="39" borderId="21" xfId="0" applyNumberFormat="1" applyFill="1" applyBorder="1" applyAlignment="1" applyProtection="1">
      <alignment vertical="center"/>
      <protection/>
    </xf>
    <xf numFmtId="49" fontId="0" fillId="0" borderId="78" xfId="0" applyNumberFormat="1" applyBorder="1" applyAlignment="1" applyProtection="1">
      <alignment horizontal="center" vertical="center"/>
      <protection/>
    </xf>
    <xf numFmtId="49" fontId="0" fillId="0" borderId="46" xfId="0" applyNumberFormat="1" applyBorder="1" applyAlignment="1" applyProtection="1">
      <alignment horizontal="center" vertical="center"/>
      <protection/>
    </xf>
    <xf numFmtId="49" fontId="0" fillId="0" borderId="41" xfId="0" applyNumberFormat="1" applyBorder="1" applyAlignment="1" applyProtection="1">
      <alignment vertical="center"/>
      <protection/>
    </xf>
    <xf numFmtId="49" fontId="0" fillId="0" borderId="21" xfId="0" applyNumberFormat="1" applyBorder="1" applyAlignment="1" applyProtection="1">
      <alignment vertical="center"/>
      <protection/>
    </xf>
    <xf numFmtId="49" fontId="0" fillId="37" borderId="47" xfId="0" applyNumberFormat="1" applyFill="1" applyBorder="1" applyAlignment="1" applyProtection="1">
      <alignment horizontal="center" vertical="center"/>
      <protection/>
    </xf>
    <xf numFmtId="49" fontId="0" fillId="37" borderId="45" xfId="0" applyNumberFormat="1" applyFill="1" applyBorder="1" applyAlignment="1" applyProtection="1">
      <alignment horizontal="center" vertical="center"/>
      <protection/>
    </xf>
    <xf numFmtId="49" fontId="0" fillId="0" borderId="39" xfId="0" applyNumberFormat="1" applyBorder="1" applyAlignment="1" applyProtection="1">
      <alignment vertical="center"/>
      <protection/>
    </xf>
    <xf numFmtId="49" fontId="0" fillId="0" borderId="38" xfId="0" applyNumberFormat="1" applyBorder="1" applyAlignment="1" applyProtection="1">
      <alignment vertical="center"/>
      <protection/>
    </xf>
    <xf numFmtId="0" fontId="0" fillId="0" borderId="0" xfId="0" applyAlignment="1">
      <alignment vertical="center"/>
    </xf>
    <xf numFmtId="0" fontId="0" fillId="0" borderId="0" xfId="0" applyFill="1" applyBorder="1" applyAlignment="1">
      <alignment vertical="center"/>
    </xf>
    <xf numFmtId="0" fontId="0" fillId="0" borderId="0" xfId="0" applyAlignment="1" applyProtection="1">
      <alignment vertical="center"/>
      <protection/>
    </xf>
    <xf numFmtId="0" fontId="3" fillId="37" borderId="63" xfId="0" applyFont="1" applyFill="1" applyBorder="1" applyAlignment="1" applyProtection="1">
      <alignment horizontal="center" vertical="center"/>
      <protection/>
    </xf>
    <xf numFmtId="0" fontId="3" fillId="37" borderId="64" xfId="0" applyFont="1" applyFill="1" applyBorder="1" applyAlignment="1" applyProtection="1">
      <alignment horizontal="center" vertical="center"/>
      <protection/>
    </xf>
    <xf numFmtId="0" fontId="3" fillId="37" borderId="77" xfId="0" applyFont="1" applyFill="1" applyBorder="1" applyAlignment="1" applyProtection="1">
      <alignment horizontal="center" vertical="center"/>
      <protection/>
    </xf>
    <xf numFmtId="0" fontId="3" fillId="0" borderId="66" xfId="0" applyFont="1" applyBorder="1" applyAlignment="1" applyProtection="1">
      <alignment horizontal="center" vertical="center"/>
      <protection/>
    </xf>
    <xf numFmtId="0" fontId="3" fillId="0" borderId="67" xfId="0" applyFont="1" applyBorder="1" applyAlignment="1" applyProtection="1">
      <alignment horizontal="center" vertical="center"/>
      <protection/>
    </xf>
    <xf numFmtId="0" fontId="3" fillId="0" borderId="70" xfId="0" applyFont="1" applyBorder="1" applyAlignment="1" applyProtection="1">
      <alignment horizontal="center" vertical="center"/>
      <protection/>
    </xf>
    <xf numFmtId="0" fontId="3" fillId="0" borderId="54" xfId="0" applyFont="1" applyBorder="1" applyAlignment="1" applyProtection="1">
      <alignment horizontal="center" vertical="center"/>
      <protection/>
    </xf>
    <xf numFmtId="0" fontId="10" fillId="35" borderId="81" xfId="0" applyFont="1" applyFill="1" applyBorder="1" applyAlignment="1" applyProtection="1">
      <alignment horizontal="center" vertical="center"/>
      <protection/>
    </xf>
    <xf numFmtId="0" fontId="10" fillId="35" borderId="82" xfId="0" applyFont="1" applyFill="1" applyBorder="1" applyAlignment="1" applyProtection="1">
      <alignment horizontal="center" vertical="center"/>
      <protection/>
    </xf>
    <xf numFmtId="0" fontId="10" fillId="35" borderId="83" xfId="0" applyFont="1" applyFill="1" applyBorder="1" applyAlignment="1" applyProtection="1">
      <alignment horizontal="center" vertical="center"/>
      <protection/>
    </xf>
    <xf numFmtId="0" fontId="10" fillId="35" borderId="42" xfId="0" applyFont="1" applyFill="1" applyBorder="1" applyAlignment="1" applyProtection="1">
      <alignment horizontal="center" vertical="center"/>
      <protection/>
    </xf>
    <xf numFmtId="0" fontId="10" fillId="35" borderId="75" xfId="0" applyFont="1" applyFill="1" applyBorder="1" applyAlignment="1" applyProtection="1">
      <alignment horizontal="center" vertical="center"/>
      <protection/>
    </xf>
    <xf numFmtId="0" fontId="10" fillId="35" borderId="76" xfId="0" applyFont="1" applyFill="1" applyBorder="1" applyAlignment="1" applyProtection="1">
      <alignment horizontal="center" vertical="center"/>
      <protection/>
    </xf>
    <xf numFmtId="0" fontId="3" fillId="34" borderId="84" xfId="0" applyFont="1" applyFill="1" applyBorder="1" applyAlignment="1" applyProtection="1">
      <alignment horizontal="center" vertical="center"/>
      <protection/>
    </xf>
    <xf numFmtId="0" fontId="3" fillId="34" borderId="53"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40" borderId="0" xfId="0" applyFill="1" applyBorder="1" applyAlignment="1" applyProtection="1">
      <alignment horizontal="center" vertical="center"/>
      <protection/>
    </xf>
    <xf numFmtId="0" fontId="3" fillId="40" borderId="0" xfId="0" applyFont="1" applyFill="1" applyAlignment="1" applyProtection="1">
      <alignment horizontal="center" vertical="center"/>
      <protection/>
    </xf>
    <xf numFmtId="178" fontId="3" fillId="0" borderId="10" xfId="0" applyNumberFormat="1" applyFont="1" applyBorder="1" applyAlignment="1" applyProtection="1">
      <alignment horizontal="center" vertical="center"/>
      <protection/>
    </xf>
    <xf numFmtId="0" fontId="3" fillId="0" borderId="0" xfId="0" applyFont="1" applyAlignment="1" applyProtection="1">
      <alignment horizontal="right" vertical="center"/>
      <protection/>
    </xf>
    <xf numFmtId="0" fontId="3" fillId="0" borderId="0" xfId="0" applyFont="1" applyBorder="1" applyAlignment="1" applyProtection="1">
      <alignment vertical="center"/>
      <protection/>
    </xf>
    <xf numFmtId="0" fontId="3" fillId="34" borderId="66" xfId="0" applyFont="1" applyFill="1" applyBorder="1" applyAlignment="1" applyProtection="1">
      <alignment horizontal="center" vertical="center"/>
      <protection/>
    </xf>
    <xf numFmtId="0" fontId="3" fillId="34" borderId="70" xfId="0" applyFont="1" applyFill="1" applyBorder="1" applyAlignment="1" applyProtection="1">
      <alignment horizontal="center" vertical="center"/>
      <protection/>
    </xf>
    <xf numFmtId="0" fontId="3" fillId="33" borderId="85" xfId="0" applyFont="1" applyFill="1" applyBorder="1" applyAlignment="1" applyProtection="1">
      <alignment horizontal="center" vertical="center" wrapText="1"/>
      <protection/>
    </xf>
    <xf numFmtId="0" fontId="3" fillId="33" borderId="39" xfId="0" applyFont="1" applyFill="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3" fillId="34" borderId="17" xfId="0" applyFont="1" applyFill="1" applyBorder="1" applyAlignment="1" applyProtection="1">
      <alignment horizontal="center" vertical="center"/>
      <protection/>
    </xf>
    <xf numFmtId="0" fontId="3" fillId="34" borderId="12" xfId="0" applyFont="1" applyFill="1" applyBorder="1" applyAlignment="1" applyProtection="1">
      <alignment horizontal="center" vertical="center"/>
      <protection/>
    </xf>
    <xf numFmtId="0" fontId="3" fillId="34" borderId="16" xfId="0" applyFont="1" applyFill="1" applyBorder="1" applyAlignment="1" applyProtection="1">
      <alignment horizontal="center" vertical="center"/>
      <protection/>
    </xf>
    <xf numFmtId="0" fontId="3" fillId="34" borderId="10" xfId="0" applyFont="1" applyFill="1" applyBorder="1" applyAlignment="1" applyProtection="1">
      <alignment horizontal="center" vertical="center"/>
      <protection/>
    </xf>
    <xf numFmtId="0" fontId="3" fillId="35" borderId="42" xfId="0" applyFont="1" applyFill="1" applyBorder="1" applyAlignment="1" applyProtection="1">
      <alignment horizontal="center" vertical="center"/>
      <protection/>
    </xf>
    <xf numFmtId="0" fontId="3" fillId="35" borderId="75" xfId="0" applyFont="1" applyFill="1" applyBorder="1" applyAlignment="1" applyProtection="1">
      <alignment horizontal="center" vertical="center"/>
      <protection/>
    </xf>
    <xf numFmtId="0" fontId="3" fillId="35" borderId="76"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0" fillId="0" borderId="0" xfId="0" applyBorder="1" applyAlignment="1" applyProtection="1">
      <alignment vertical="center"/>
      <protection/>
    </xf>
    <xf numFmtId="176" fontId="10" fillId="0" borderId="11" xfId="0" applyNumberFormat="1" applyFont="1" applyBorder="1" applyAlignment="1" applyProtection="1">
      <alignment vertical="center"/>
      <protection/>
    </xf>
    <xf numFmtId="176" fontId="10" fillId="0" borderId="10" xfId="0" applyNumberFormat="1" applyFont="1" applyBorder="1" applyAlignment="1" applyProtection="1">
      <alignment vertical="center"/>
      <protection/>
    </xf>
    <xf numFmtId="0" fontId="0" fillId="40" borderId="15" xfId="0" applyFill="1" applyBorder="1" applyAlignment="1" applyProtection="1">
      <alignment horizontal="center" vertical="center"/>
      <protection/>
    </xf>
    <xf numFmtId="0" fontId="0" fillId="40" borderId="16" xfId="0" applyFill="1" applyBorder="1" applyAlignment="1" applyProtection="1">
      <alignment horizontal="center" vertical="center"/>
      <protection/>
    </xf>
    <xf numFmtId="0" fontId="0" fillId="40" borderId="17" xfId="0"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176" fontId="10" fillId="0" borderId="13" xfId="0" applyNumberFormat="1" applyFont="1" applyBorder="1" applyAlignment="1" applyProtection="1">
      <alignment vertical="center"/>
      <protection/>
    </xf>
    <xf numFmtId="178" fontId="3" fillId="0" borderId="19" xfId="0" applyNumberFormat="1" applyFont="1" applyBorder="1" applyAlignment="1" applyProtection="1">
      <alignment horizontal="center" vertical="center"/>
      <protection/>
    </xf>
    <xf numFmtId="178" fontId="3" fillId="0" borderId="20" xfId="0" applyNumberFormat="1" applyFont="1" applyBorder="1" applyAlignment="1" applyProtection="1">
      <alignment horizontal="center" vertical="center"/>
      <protection/>
    </xf>
    <xf numFmtId="178" fontId="3" fillId="0" borderId="21" xfId="0" applyNumberFormat="1" applyFont="1" applyBorder="1" applyAlignment="1" applyProtection="1">
      <alignment horizontal="center" vertical="center"/>
      <protection/>
    </xf>
    <xf numFmtId="0" fontId="41" fillId="35" borderId="42" xfId="0" applyFont="1" applyFill="1" applyBorder="1" applyAlignment="1" applyProtection="1">
      <alignment horizontal="center" vertical="center"/>
      <protection/>
    </xf>
    <xf numFmtId="0" fontId="41" fillId="35" borderId="75" xfId="0" applyFont="1" applyFill="1" applyBorder="1" applyAlignment="1" applyProtection="1">
      <alignment horizontal="center" vertical="center"/>
      <protection/>
    </xf>
    <xf numFmtId="0" fontId="41" fillId="35" borderId="76" xfId="0" applyFont="1" applyFill="1" applyBorder="1" applyAlignment="1" applyProtection="1">
      <alignment horizontal="center" vertical="center"/>
      <protection/>
    </xf>
    <xf numFmtId="0" fontId="3" fillId="34" borderId="15"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0" borderId="5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37" borderId="66" xfId="0" applyFont="1" applyFill="1" applyBorder="1" applyAlignment="1" applyProtection="1">
      <alignment horizontal="center" vertical="center"/>
      <protection/>
    </xf>
    <xf numFmtId="0" fontId="3" fillId="37" borderId="65" xfId="0" applyFont="1" applyFill="1" applyBorder="1" applyAlignment="1" applyProtection="1">
      <alignment horizontal="center" vertical="center"/>
      <protection/>
    </xf>
    <xf numFmtId="0" fontId="3" fillId="37" borderId="67" xfId="0" applyFont="1" applyFill="1" applyBorder="1" applyAlignment="1" applyProtection="1">
      <alignment horizontal="center" vertical="center"/>
      <protection/>
    </xf>
    <xf numFmtId="0" fontId="3" fillId="37" borderId="68" xfId="0" applyFont="1" applyFill="1" applyBorder="1" applyAlignment="1" applyProtection="1">
      <alignment horizontal="center" vertical="center"/>
      <protection/>
    </xf>
    <xf numFmtId="0" fontId="3" fillId="37" borderId="0" xfId="0" applyFont="1" applyFill="1" applyBorder="1" applyAlignment="1" applyProtection="1">
      <alignment horizontal="center" vertical="center"/>
      <protection/>
    </xf>
    <xf numFmtId="0" fontId="3" fillId="37" borderId="69" xfId="0" applyFont="1" applyFill="1" applyBorder="1" applyAlignment="1" applyProtection="1">
      <alignment horizontal="center" vertical="center"/>
      <protection/>
    </xf>
    <xf numFmtId="0" fontId="3" fillId="37" borderId="70" xfId="0" applyFont="1" applyFill="1" applyBorder="1" applyAlignment="1" applyProtection="1">
      <alignment horizontal="center" vertical="center"/>
      <protection/>
    </xf>
    <xf numFmtId="0" fontId="3" fillId="37" borderId="71" xfId="0" applyFont="1" applyFill="1" applyBorder="1" applyAlignment="1" applyProtection="1">
      <alignment horizontal="center" vertical="center"/>
      <protection/>
    </xf>
    <xf numFmtId="0" fontId="3" fillId="37" borderId="54" xfId="0" applyFont="1" applyFill="1" applyBorder="1" applyAlignment="1" applyProtection="1">
      <alignment horizontal="center" vertical="center"/>
      <protection/>
    </xf>
    <xf numFmtId="181" fontId="3" fillId="0" borderId="86" xfId="0" applyNumberFormat="1" applyFont="1" applyBorder="1" applyAlignment="1" applyProtection="1">
      <alignment horizontal="center" vertical="center"/>
      <protection/>
    </xf>
    <xf numFmtId="181" fontId="3" fillId="0" borderId="87" xfId="0" applyNumberFormat="1" applyFont="1" applyBorder="1" applyAlignment="1" applyProtection="1">
      <alignment horizontal="center" vertical="center"/>
      <protection/>
    </xf>
    <xf numFmtId="181" fontId="3" fillId="0" borderId="46" xfId="0" applyNumberFormat="1" applyFont="1" applyBorder="1" applyAlignment="1" applyProtection="1">
      <alignment horizontal="center" vertical="center"/>
      <protection/>
    </xf>
    <xf numFmtId="181" fontId="3" fillId="0" borderId="10" xfId="0" applyNumberFormat="1" applyFont="1" applyBorder="1" applyAlignment="1" applyProtection="1">
      <alignment horizontal="center" vertical="center"/>
      <protection/>
    </xf>
    <xf numFmtId="0" fontId="10" fillId="36" borderId="88" xfId="0" applyFont="1" applyFill="1" applyBorder="1" applyAlignment="1" applyProtection="1">
      <alignment horizontal="center" vertical="center"/>
      <protection/>
    </xf>
    <xf numFmtId="0" fontId="10" fillId="36" borderId="89" xfId="0" applyFont="1" applyFill="1" applyBorder="1" applyAlignment="1" applyProtection="1">
      <alignment horizontal="center" vertical="center"/>
      <protection/>
    </xf>
    <xf numFmtId="0" fontId="10" fillId="36" borderId="90" xfId="0" applyFont="1" applyFill="1" applyBorder="1" applyAlignment="1" applyProtection="1">
      <alignment horizontal="center" vertical="center"/>
      <protection/>
    </xf>
    <xf numFmtId="0" fontId="10" fillId="36" borderId="91" xfId="0" applyFont="1" applyFill="1" applyBorder="1" applyAlignment="1" applyProtection="1">
      <alignment vertical="center"/>
      <protection/>
    </xf>
    <xf numFmtId="0" fontId="10" fillId="36" borderId="92" xfId="0" applyFont="1" applyFill="1" applyBorder="1" applyAlignment="1" applyProtection="1">
      <alignment vertical="center"/>
      <protection/>
    </xf>
    <xf numFmtId="0" fontId="10" fillId="36" borderId="62" xfId="0" applyFont="1" applyFill="1" applyBorder="1" applyAlignment="1" applyProtection="1">
      <alignment vertical="center"/>
      <protection/>
    </xf>
    <xf numFmtId="0" fontId="8" fillId="0" borderId="13" xfId="0" applyFont="1" applyFill="1" applyBorder="1" applyAlignment="1" applyProtection="1">
      <alignment horizontal="center" vertical="center"/>
      <protection/>
    </xf>
    <xf numFmtId="176" fontId="10" fillId="39" borderId="10" xfId="0" applyNumberFormat="1" applyFont="1" applyFill="1" applyBorder="1" applyAlignment="1" applyProtection="1">
      <alignment vertical="center"/>
      <protection/>
    </xf>
    <xf numFmtId="0" fontId="8" fillId="0" borderId="11"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177" fontId="10" fillId="0" borderId="10" xfId="0" applyNumberFormat="1" applyFont="1" applyBorder="1" applyAlignment="1" applyProtection="1">
      <alignment vertical="center"/>
      <protection/>
    </xf>
    <xf numFmtId="176" fontId="10" fillId="0" borderId="12" xfId="0" applyNumberFormat="1" applyFont="1" applyBorder="1" applyAlignment="1" applyProtection="1">
      <alignment horizontal="center" vertical="center"/>
      <protection/>
    </xf>
    <xf numFmtId="0" fontId="3" fillId="0" borderId="0" xfId="0" applyFont="1" applyAlignment="1" applyProtection="1">
      <alignment vertical="center"/>
      <protection/>
    </xf>
    <xf numFmtId="176" fontId="10" fillId="39" borderId="18" xfId="0" applyNumberFormat="1" applyFont="1" applyFill="1" applyBorder="1" applyAlignment="1" applyProtection="1">
      <alignment vertical="center"/>
      <protection/>
    </xf>
    <xf numFmtId="176" fontId="10" fillId="0" borderId="14" xfId="0" applyNumberFormat="1" applyFont="1" applyBorder="1" applyAlignment="1" applyProtection="1">
      <alignment horizontal="center" vertical="center"/>
      <protection/>
    </xf>
    <xf numFmtId="176" fontId="10" fillId="0" borderId="18" xfId="0" applyNumberFormat="1" applyFont="1" applyBorder="1" applyAlignment="1" applyProtection="1">
      <alignment vertical="center"/>
      <protection/>
    </xf>
    <xf numFmtId="177" fontId="10" fillId="0" borderId="18" xfId="0" applyNumberFormat="1" applyFont="1" applyBorder="1" applyAlignment="1" applyProtection="1">
      <alignment vertical="center"/>
      <protection/>
    </xf>
    <xf numFmtId="0" fontId="18" fillId="62" borderId="0" xfId="0" applyFont="1" applyFill="1" applyAlignment="1">
      <alignment horizontal="center" vertical="center"/>
    </xf>
    <xf numFmtId="0" fontId="17" fillId="40" borderId="0" xfId="0" applyFont="1" applyFill="1" applyAlignment="1">
      <alignment horizontal="center" vertical="center"/>
    </xf>
    <xf numFmtId="0" fontId="17" fillId="38" borderId="0" xfId="0" applyFont="1" applyFill="1" applyAlignment="1">
      <alignment horizontal="center" vertical="center"/>
    </xf>
    <xf numFmtId="0" fontId="17" fillId="39" borderId="0" xfId="0" applyFont="1" applyFill="1" applyAlignment="1">
      <alignment horizontal="center" vertical="center"/>
    </xf>
    <xf numFmtId="0" fontId="0" fillId="34" borderId="10" xfId="0" applyFill="1" applyBorder="1" applyAlignment="1" applyProtection="1">
      <alignment horizontal="center" vertical="center"/>
      <protection/>
    </xf>
    <xf numFmtId="0" fontId="0" fillId="40" borderId="0" xfId="0" applyFill="1" applyAlignment="1" applyProtection="1">
      <alignment horizontal="center" vertical="center"/>
      <protection/>
    </xf>
    <xf numFmtId="0" fontId="0" fillId="33" borderId="88" xfId="0" applyFill="1" applyBorder="1" applyAlignment="1" applyProtection="1">
      <alignment horizontal="center" vertical="center"/>
      <protection/>
    </xf>
    <xf numFmtId="0" fontId="0" fillId="33" borderId="90" xfId="0" applyFill="1" applyBorder="1" applyAlignment="1" applyProtection="1">
      <alignment horizontal="center" vertical="center"/>
      <protection/>
    </xf>
    <xf numFmtId="0" fontId="0" fillId="46" borderId="0" xfId="0" applyFill="1" applyBorder="1" applyAlignment="1" applyProtection="1">
      <alignment horizontal="center" vertical="center"/>
      <protection/>
    </xf>
    <xf numFmtId="0" fontId="13" fillId="44" borderId="0" xfId="0" applyFont="1" applyFill="1" applyBorder="1" applyAlignment="1" applyProtection="1">
      <alignment horizontal="center" vertical="center"/>
      <protection/>
    </xf>
    <xf numFmtId="0" fontId="0" fillId="39" borderId="0" xfId="0" applyFill="1" applyBorder="1" applyAlignment="1" applyProtection="1">
      <alignment horizontal="center" vertical="center"/>
      <protection/>
    </xf>
    <xf numFmtId="0" fontId="5" fillId="40" borderId="10" xfId="0" applyFont="1" applyFill="1" applyBorder="1" applyAlignment="1" applyProtection="1">
      <alignment horizontal="center" vertical="center" wrapText="1"/>
      <protection/>
    </xf>
    <xf numFmtId="0" fontId="0" fillId="40" borderId="10" xfId="0" applyFill="1" applyBorder="1" applyAlignment="1" applyProtection="1">
      <alignment horizontal="center" vertical="center"/>
      <protection/>
    </xf>
    <xf numFmtId="0" fontId="0" fillId="40" borderId="93" xfId="0" applyFill="1" applyBorder="1" applyAlignment="1" applyProtection="1">
      <alignment horizontal="center" vertical="center"/>
      <protection/>
    </xf>
    <xf numFmtId="0" fontId="0" fillId="40" borderId="94" xfId="0" applyFill="1" applyBorder="1" applyAlignment="1" applyProtection="1">
      <alignment horizontal="center" vertical="center"/>
      <protection/>
    </xf>
    <xf numFmtId="0" fontId="0" fillId="40" borderId="86" xfId="0" applyFill="1" applyBorder="1" applyAlignment="1" applyProtection="1">
      <alignment horizontal="center" vertical="center"/>
      <protection/>
    </xf>
    <xf numFmtId="0" fontId="21" fillId="34" borderId="10" xfId="0" applyFont="1" applyFill="1" applyBorder="1" applyAlignment="1" applyProtection="1">
      <alignment horizontal="center" vertical="center"/>
      <protection/>
    </xf>
    <xf numFmtId="0" fontId="0" fillId="33" borderId="94" xfId="0" applyFill="1" applyBorder="1" applyAlignment="1" applyProtection="1">
      <alignment horizontal="left" vertical="center" wrapText="1"/>
      <protection/>
    </xf>
    <xf numFmtId="0" fontId="0" fillId="33" borderId="94" xfId="0" applyFill="1" applyBorder="1" applyAlignment="1" applyProtection="1">
      <alignment horizontal="left" vertical="center"/>
      <protection/>
    </xf>
    <xf numFmtId="0" fontId="0" fillId="0" borderId="0" xfId="0" applyFont="1" applyFill="1" applyAlignment="1" applyProtection="1">
      <alignment horizontal="center" vertical="center"/>
      <protection/>
    </xf>
    <xf numFmtId="0" fontId="4" fillId="40" borderId="0" xfId="0" applyFont="1" applyFill="1" applyAlignment="1" applyProtection="1">
      <alignment horizontal="center" vertical="center"/>
      <protection/>
    </xf>
    <xf numFmtId="0" fontId="13" fillId="42" borderId="68" xfId="0" applyFont="1" applyFill="1" applyBorder="1" applyAlignment="1" applyProtection="1">
      <alignment horizontal="center" vertical="center"/>
      <protection/>
    </xf>
    <xf numFmtId="0" fontId="0" fillId="33" borderId="91" xfId="0" applyFill="1" applyBorder="1" applyAlignment="1" applyProtection="1">
      <alignment horizontal="center" vertical="center"/>
      <protection/>
    </xf>
    <xf numFmtId="0" fontId="0" fillId="33" borderId="62" xfId="0" applyFill="1" applyBorder="1" applyAlignment="1" applyProtection="1">
      <alignment horizontal="center" vertical="center"/>
      <protection/>
    </xf>
    <xf numFmtId="0" fontId="80" fillId="63" borderId="0" xfId="0" applyFont="1" applyFill="1" applyAlignment="1" applyProtection="1">
      <alignment horizontal="center" vertical="center" wrapText="1"/>
      <protection/>
    </xf>
    <xf numFmtId="0" fontId="80" fillId="63" borderId="0" xfId="0" applyFont="1" applyFill="1" applyAlignment="1" applyProtection="1">
      <alignment horizontal="center" vertical="center"/>
      <protection/>
    </xf>
    <xf numFmtId="0" fontId="80" fillId="63" borderId="71" xfId="0" applyFont="1" applyFill="1" applyBorder="1" applyAlignment="1" applyProtection="1">
      <alignment horizontal="center" vertical="center"/>
      <protection/>
    </xf>
    <xf numFmtId="0" fontId="3" fillId="33" borderId="70" xfId="0" applyFont="1" applyFill="1" applyBorder="1" applyAlignment="1" applyProtection="1">
      <alignment horizontal="center" vertical="center"/>
      <protection/>
    </xf>
    <xf numFmtId="0" fontId="3" fillId="33" borderId="95" xfId="0" applyFont="1" applyFill="1" applyBorder="1" applyAlignment="1" applyProtection="1">
      <alignment horizontal="center" vertical="center"/>
      <protection/>
    </xf>
    <xf numFmtId="0" fontId="13" fillId="44" borderId="0" xfId="0" applyFont="1" applyFill="1" applyBorder="1" applyAlignment="1" applyProtection="1">
      <alignment vertical="center"/>
      <protection/>
    </xf>
    <xf numFmtId="49" fontId="20" fillId="0" borderId="96" xfId="0" applyNumberFormat="1" applyFont="1" applyBorder="1" applyAlignment="1" applyProtection="1">
      <alignment horizontal="center" vertical="center" textRotation="255"/>
      <protection/>
    </xf>
    <xf numFmtId="49" fontId="20" fillId="0" borderId="38" xfId="0" applyNumberFormat="1" applyFont="1" applyBorder="1" applyAlignment="1" applyProtection="1">
      <alignment horizontal="center" vertical="center" textRotation="255"/>
      <protection/>
    </xf>
    <xf numFmtId="0" fontId="25" fillId="34" borderId="35" xfId="0" applyFont="1" applyFill="1" applyBorder="1" applyAlignment="1" applyProtection="1">
      <alignment horizontal="center" vertical="center" wrapText="1"/>
      <protection/>
    </xf>
    <xf numFmtId="0" fontId="25" fillId="34" borderId="38" xfId="0" applyFont="1" applyFill="1" applyBorder="1" applyAlignment="1" applyProtection="1">
      <alignment horizontal="center" vertical="center"/>
      <protection/>
    </xf>
    <xf numFmtId="0" fontId="81" fillId="64" borderId="0" xfId="0" applyFont="1" applyFill="1" applyAlignment="1" applyProtection="1">
      <alignment horizontal="center" vertical="center"/>
      <protection/>
    </xf>
    <xf numFmtId="0" fontId="26" fillId="50" borderId="0" xfId="0" applyFont="1" applyFill="1" applyAlignment="1" applyProtection="1">
      <alignment horizontal="left" vertical="center"/>
      <protection/>
    </xf>
    <xf numFmtId="0" fontId="33" fillId="50" borderId="97" xfId="0" applyFont="1" applyFill="1" applyBorder="1" applyAlignment="1" applyProtection="1">
      <alignment horizontal="center" vertical="top"/>
      <protection/>
    </xf>
    <xf numFmtId="0" fontId="13" fillId="44" borderId="58" xfId="0" applyFont="1" applyFill="1" applyBorder="1" applyAlignment="1" applyProtection="1">
      <alignment horizontal="center" vertical="center"/>
      <protection/>
    </xf>
    <xf numFmtId="0" fontId="13" fillId="44" borderId="38" xfId="0" applyFont="1" applyFill="1" applyBorder="1" applyAlignment="1" applyProtection="1">
      <alignment horizontal="center" vertical="center"/>
      <protection/>
    </xf>
    <xf numFmtId="49" fontId="13" fillId="44" borderId="58" xfId="0" applyNumberFormat="1" applyFont="1" applyFill="1" applyBorder="1" applyAlignment="1" applyProtection="1">
      <alignment horizontal="center" vertical="center"/>
      <protection/>
    </xf>
    <xf numFmtId="49" fontId="13" fillId="44" borderId="38" xfId="0" applyNumberFormat="1" applyFont="1" applyFill="1" applyBorder="1" applyAlignment="1" applyProtection="1">
      <alignment horizontal="center" vertical="center"/>
      <protection/>
    </xf>
    <xf numFmtId="0" fontId="29" fillId="33" borderId="66" xfId="0" applyFont="1" applyFill="1" applyBorder="1" applyAlignment="1" applyProtection="1">
      <alignment horizontal="center" vertical="center"/>
      <protection/>
    </xf>
    <xf numFmtId="0" fontId="29" fillId="33" borderId="67" xfId="0" applyFont="1" applyFill="1" applyBorder="1" applyAlignment="1" applyProtection="1">
      <alignment horizontal="center" vertical="center"/>
      <protection/>
    </xf>
    <xf numFmtId="0" fontId="29" fillId="33" borderId="70" xfId="0" applyFont="1" applyFill="1" applyBorder="1" applyAlignment="1" applyProtection="1">
      <alignment horizontal="center" vertical="center"/>
      <protection/>
    </xf>
    <xf numFmtId="0" fontId="29" fillId="33" borderId="54" xfId="0" applyFont="1" applyFill="1" applyBorder="1" applyAlignment="1" applyProtection="1">
      <alignment horizontal="center" vertical="center"/>
      <protection/>
    </xf>
    <xf numFmtId="0" fontId="33" fillId="50" borderId="98" xfId="0" applyFont="1" applyFill="1" applyBorder="1" applyAlignment="1" applyProtection="1">
      <alignment horizontal="center" vertical="top"/>
      <protection/>
    </xf>
    <xf numFmtId="0" fontId="13" fillId="42" borderId="0" xfId="0" applyFont="1" applyFill="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AB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1FFFF"/>
      <rgbColor rgb="00DDFFDD"/>
      <rgbColor rgb="00FFFFC3"/>
      <rgbColor rgb="0099CCFF"/>
      <rgbColor rgb="00FFD1E8"/>
      <rgbColor rgb="00EBD7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25" b="0" i="0" u="none" baseline="0">
                <a:solidFill>
                  <a:srgbClr val="000000"/>
                </a:solidFill>
                <a:latin typeface="ＭＳ ゴシック"/>
                <a:ea typeface="ＭＳ ゴシック"/>
                <a:cs typeface="ＭＳ ゴシック"/>
              </a:rPr>
              <a:t>得</a:t>
            </a:r>
            <a:r>
              <a:rPr lang="en-US" cap="none" sz="3525" b="0" i="0" u="none" baseline="0">
                <a:solidFill>
                  <a:srgbClr val="000000"/>
                </a:solidFill>
                <a:latin typeface="ＭＳ ゴシック"/>
                <a:ea typeface="ＭＳ ゴシック"/>
                <a:cs typeface="ＭＳ ゴシック"/>
              </a:rPr>
              <a:t> </a:t>
            </a:r>
            <a:r>
              <a:rPr lang="en-US" cap="none" sz="3525" b="0" i="0" u="none" baseline="0">
                <a:solidFill>
                  <a:srgbClr val="000000"/>
                </a:solidFill>
                <a:latin typeface="ＭＳ ゴシック"/>
                <a:ea typeface="ＭＳ ゴシック"/>
                <a:cs typeface="ＭＳ ゴシック"/>
              </a:rPr>
              <a:t>点</a:t>
            </a:r>
          </a:p>
        </c:rich>
      </c:tx>
      <c:layout>
        <c:manualLayout>
          <c:xMode val="factor"/>
          <c:yMode val="factor"/>
          <c:x val="-0.01475"/>
          <c:y val="0.43625"/>
        </c:manualLayout>
      </c:layout>
      <c:spPr>
        <a:noFill/>
        <a:ln>
          <a:noFill/>
        </a:ln>
      </c:spPr>
    </c:title>
    <c:plotArea>
      <c:layout>
        <c:manualLayout>
          <c:xMode val="edge"/>
          <c:yMode val="edge"/>
          <c:x val="0.0325"/>
          <c:y val="0.06375"/>
          <c:w val="0.90475"/>
          <c:h val="0.9235"/>
        </c:manualLayout>
      </c:layout>
      <c:doughnutChart>
        <c:varyColors val="1"/>
        <c:ser>
          <c:idx val="0"/>
          <c:order val="0"/>
          <c:tx>
            <c:strRef>
              <c:f>'得失Ａ'!$G$2</c:f>
              <c:strCache>
                <c:ptCount val="1"/>
                <c:pt idx="0">
                  <c:v>得　点</c:v>
                </c:pt>
              </c:strCache>
            </c:strRef>
          </c:tx>
          <c:spPr>
            <a:solidFill>
              <a:srgbClr val="4472C4"/>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1FFFF"/>
              </a:solidFill>
              <a:ln w="12700">
                <a:solidFill>
                  <a:srgbClr val="000000"/>
                </a:solidFill>
              </a:ln>
            </c:spPr>
          </c:dPt>
          <c:dPt>
            <c:idx val="1"/>
            <c:spPr>
              <a:solidFill>
                <a:srgbClr val="FFD1E8"/>
              </a:solidFill>
              <a:ln w="12700">
                <a:solidFill>
                  <a:srgbClr val="000000"/>
                </a:solidFill>
              </a:ln>
            </c:spPr>
          </c:dPt>
          <c:dPt>
            <c:idx val="2"/>
            <c:spPr>
              <a:solidFill>
                <a:srgbClr val="DDFFDD"/>
              </a:solidFill>
              <a:ln w="12700">
                <a:solidFill>
                  <a:srgbClr val="000000"/>
                </a:solidFill>
              </a:ln>
            </c:spPr>
          </c:dPt>
          <c:dLbls>
            <c:dLbl>
              <c:idx val="0"/>
              <c:layout>
                <c:manualLayout>
                  <c:x val="0"/>
                  <c:y val="0"/>
                </c:manualLayout>
              </c:layout>
              <c:txPr>
                <a:bodyPr vert="horz" rot="0" anchor="ctr"/>
                <a:lstStyle/>
                <a:p>
                  <a:pPr algn="ctr">
                    <a:defRPr lang="en-US" cap="none" sz="1950" b="0" i="0" u="none" baseline="0">
                      <a:solidFill>
                        <a:srgbClr val="000000"/>
                      </a:solidFill>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1"/>
              <c:txPr>
                <a:bodyPr vert="horz" rot="0" anchor="ctr"/>
                <a:lstStyle/>
                <a:p>
                  <a:pPr algn="ctr">
                    <a:defRPr lang="en-US" cap="none" sz="1950" b="0" i="0" u="none" baseline="0">
                      <a:solidFill>
                        <a:srgbClr val="000000"/>
                      </a:solidFill>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1950" b="0" i="0" u="none" baseline="0">
                      <a:solidFill>
                        <a:srgbClr val="000000"/>
                      </a:solidFill>
                      <a:latin typeface="ＭＳ ゴシック"/>
                      <a:ea typeface="ＭＳ ゴシック"/>
                      <a:cs typeface="ＭＳ ゴシック"/>
                    </a:defRPr>
                  </a:pPr>
                </a:p>
              </c:txPr>
              <c:numFmt formatCode="General" sourceLinked="1"/>
              <c:showLegendKey val="0"/>
              <c:showVal val="1"/>
              <c:showBubbleSize val="0"/>
              <c:showCatName val="1"/>
              <c:showSerName val="0"/>
              <c:showPercent val="0"/>
            </c:dLbl>
            <c:numFmt formatCode="General" sourceLinked="1"/>
            <c:txPr>
              <a:bodyPr vert="horz" rot="0" anchor="ctr"/>
              <a:lstStyle/>
              <a:p>
                <a:pPr algn="ctr">
                  <a:defRPr lang="en-US" cap="none" sz="1950" b="0" i="0" u="none" baseline="0">
                    <a:solidFill>
                      <a:srgbClr val="000000"/>
                    </a:solidFill>
                    <a:latin typeface="ＭＳ ゴシック"/>
                    <a:ea typeface="ＭＳ ゴシック"/>
                    <a:cs typeface="ＭＳ ゴシック"/>
                  </a:defRPr>
                </a:pPr>
              </a:p>
            </c:txPr>
            <c:showLegendKey val="0"/>
            <c:showVal val="1"/>
            <c:showBubbleSize val="0"/>
            <c:showCatName val="1"/>
            <c:showSerName val="0"/>
            <c:showLeaderLines val="0"/>
            <c:showPercent val="0"/>
          </c:dLbls>
          <c:cat>
            <c:strRef>
              <c:f>'得失Ａ'!$H$4:$J$4</c:f>
              <c:strCache/>
            </c:strRef>
          </c:cat>
          <c:val>
            <c:numRef>
              <c:f>'得失Ａ'!$H$2:$J$2</c:f>
              <c:numCache/>
            </c:numRef>
          </c:val>
        </c:ser>
        <c:holeSize val="40"/>
      </c:doughnutChart>
      <c:spPr>
        <a:solidFill>
          <a:srgbClr val="00FFFF"/>
        </a:solidFill>
        <a:ln w="3175">
          <a:noFill/>
        </a:ln>
      </c:spPr>
    </c:plotArea>
    <c:plotVisOnly val="1"/>
    <c:dispBlanksAs val="zero"/>
    <c:showDLblsOverMax val="0"/>
  </c:chart>
  <c:spPr>
    <a:solidFill>
      <a:srgbClr val="FFFFFF"/>
    </a:solidFill>
    <a:ln w="3175">
      <a:noFill/>
    </a:ln>
  </c:spPr>
  <c:txPr>
    <a:bodyPr vert="horz" rot="0"/>
    <a:lstStyle/>
    <a:p>
      <a:pPr>
        <a:defRPr lang="en-US" cap="none" sz="1175" b="0" i="0" u="none" baseline="0">
          <a:solidFill>
            <a:srgbClr val="000000"/>
          </a:solidFill>
          <a:latin typeface="ＭＳ ゴシック"/>
          <a:ea typeface="ＭＳ ゴシック"/>
          <a:cs typeface="ＭＳ 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25" b="0" i="0" u="none" baseline="0">
                <a:solidFill>
                  <a:srgbClr val="000000"/>
                </a:solidFill>
                <a:latin typeface="ＭＳ ゴシック"/>
                <a:ea typeface="ＭＳ ゴシック"/>
                <a:cs typeface="ＭＳ ゴシック"/>
              </a:rPr>
              <a:t>失</a:t>
            </a:r>
            <a:r>
              <a:rPr lang="en-US" cap="none" sz="3525" b="0" i="0" u="none" baseline="0">
                <a:solidFill>
                  <a:srgbClr val="000000"/>
                </a:solidFill>
                <a:latin typeface="ＭＳ ゴシック"/>
                <a:ea typeface="ＭＳ ゴシック"/>
                <a:cs typeface="ＭＳ ゴシック"/>
              </a:rPr>
              <a:t> </a:t>
            </a:r>
            <a:r>
              <a:rPr lang="en-US" cap="none" sz="3525" b="0" i="0" u="none" baseline="0">
                <a:solidFill>
                  <a:srgbClr val="000000"/>
                </a:solidFill>
                <a:latin typeface="ＭＳ ゴシック"/>
                <a:ea typeface="ＭＳ ゴシック"/>
                <a:cs typeface="ＭＳ ゴシック"/>
              </a:rPr>
              <a:t>点</a:t>
            </a:r>
          </a:p>
        </c:rich>
      </c:tx>
      <c:layout>
        <c:manualLayout>
          <c:xMode val="factor"/>
          <c:yMode val="factor"/>
          <c:x val="-0.00875"/>
          <c:y val="0.442"/>
        </c:manualLayout>
      </c:layout>
      <c:spPr>
        <a:noFill/>
        <a:ln>
          <a:noFill/>
        </a:ln>
      </c:spPr>
    </c:title>
    <c:plotArea>
      <c:layout>
        <c:manualLayout>
          <c:xMode val="edge"/>
          <c:yMode val="edge"/>
          <c:x val="0.0975"/>
          <c:y val="0.08"/>
          <c:w val="0.76975"/>
          <c:h val="0.90775"/>
        </c:manualLayout>
      </c:layout>
      <c:doughnutChart>
        <c:varyColors val="1"/>
        <c:ser>
          <c:idx val="0"/>
          <c:order val="0"/>
          <c:tx>
            <c:strRef>
              <c:f>'得失Ａ'!$G$3</c:f>
              <c:strCache>
                <c:ptCount val="1"/>
                <c:pt idx="0">
                  <c:v>失　点</c:v>
                </c:pt>
              </c:strCache>
            </c:strRef>
          </c:tx>
          <c:spPr>
            <a:solidFill>
              <a:srgbClr val="4472C4"/>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1FFFF"/>
              </a:solidFill>
              <a:ln w="12700">
                <a:solidFill>
                  <a:srgbClr val="000000"/>
                </a:solidFill>
              </a:ln>
            </c:spPr>
          </c:dPt>
          <c:dPt>
            <c:idx val="1"/>
            <c:spPr>
              <a:solidFill>
                <a:srgbClr val="FFD1E8"/>
              </a:solidFill>
              <a:ln w="12700">
                <a:solidFill>
                  <a:srgbClr val="000000"/>
                </a:solidFill>
              </a:ln>
            </c:spPr>
          </c:dPt>
          <c:dPt>
            <c:idx val="2"/>
            <c:spPr>
              <a:solidFill>
                <a:srgbClr val="DDFFDD"/>
              </a:solidFill>
              <a:ln w="12700">
                <a:solidFill>
                  <a:srgbClr val="000000"/>
                </a:solidFill>
              </a:ln>
            </c:spPr>
          </c:dPt>
          <c:dLbls>
            <c:dLbl>
              <c:idx val="1"/>
              <c:txPr>
                <a:bodyPr vert="horz" rot="0" anchor="ctr"/>
                <a:lstStyle/>
                <a:p>
                  <a:pPr algn="ctr">
                    <a:defRPr lang="en-US" cap="none" sz="1950" b="0" i="0" u="none" baseline="0">
                      <a:solidFill>
                        <a:srgbClr val="000000"/>
                      </a:solidFill>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1950" b="0" i="0" u="none" baseline="0">
                      <a:solidFill>
                        <a:srgbClr val="000000"/>
                      </a:solidFill>
                      <a:latin typeface="ＭＳ ゴシック"/>
                      <a:ea typeface="ＭＳ ゴシック"/>
                      <a:cs typeface="ＭＳ ゴシック"/>
                    </a:defRPr>
                  </a:pPr>
                </a:p>
              </c:txPr>
              <c:numFmt formatCode="General" sourceLinked="1"/>
              <c:showLegendKey val="0"/>
              <c:showVal val="1"/>
              <c:showBubbleSize val="0"/>
              <c:showCatName val="1"/>
              <c:showSerName val="0"/>
              <c:showPercent val="0"/>
            </c:dLbl>
            <c:numFmt formatCode="General" sourceLinked="1"/>
            <c:txPr>
              <a:bodyPr vert="horz" rot="0" anchor="ctr"/>
              <a:lstStyle/>
              <a:p>
                <a:pPr algn="ctr">
                  <a:defRPr lang="en-US" cap="none" sz="1950" b="0" i="0" u="none" baseline="0">
                    <a:solidFill>
                      <a:srgbClr val="000000"/>
                    </a:solidFill>
                    <a:latin typeface="ＭＳ ゴシック"/>
                    <a:ea typeface="ＭＳ ゴシック"/>
                    <a:cs typeface="ＭＳ ゴシック"/>
                  </a:defRPr>
                </a:pPr>
              </a:p>
            </c:txPr>
            <c:showLegendKey val="0"/>
            <c:showVal val="1"/>
            <c:showBubbleSize val="0"/>
            <c:showCatName val="1"/>
            <c:showSerName val="0"/>
            <c:showLeaderLines val="0"/>
            <c:showPercent val="0"/>
          </c:dLbls>
          <c:cat>
            <c:strRef>
              <c:f>'得失Ａ'!$H$4:$J$4</c:f>
              <c:strCache/>
            </c:strRef>
          </c:cat>
          <c:val>
            <c:numRef>
              <c:f>'得失Ａ'!$H$3:$J$3</c:f>
              <c:numCache/>
            </c:numRef>
          </c:val>
        </c:ser>
        <c:holeSize val="40"/>
      </c:doughnutChart>
      <c:spPr>
        <a:solidFill>
          <a:srgbClr val="FFFF00"/>
        </a:solidFill>
        <a:ln w="3175">
          <a:noFill/>
        </a:ln>
      </c:spPr>
    </c:plotArea>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ＭＳ ゴシック"/>
          <a:ea typeface="ＭＳ ゴシック"/>
          <a:cs typeface="ＭＳ 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25" b="0" i="0" u="none" baseline="0">
                <a:solidFill>
                  <a:srgbClr val="000000"/>
                </a:solidFill>
                <a:latin typeface="ＭＳ ゴシック"/>
                <a:ea typeface="ＭＳ ゴシック"/>
                <a:cs typeface="ＭＳ ゴシック"/>
              </a:rPr>
              <a:t>得</a:t>
            </a:r>
            <a:r>
              <a:rPr lang="en-US" cap="none" sz="3525" b="0" i="0" u="none" baseline="0">
                <a:solidFill>
                  <a:srgbClr val="000000"/>
                </a:solidFill>
                <a:latin typeface="ＭＳ ゴシック"/>
                <a:ea typeface="ＭＳ ゴシック"/>
                <a:cs typeface="ＭＳ ゴシック"/>
              </a:rPr>
              <a:t> </a:t>
            </a:r>
            <a:r>
              <a:rPr lang="en-US" cap="none" sz="3525" b="0" i="0" u="none" baseline="0">
                <a:solidFill>
                  <a:srgbClr val="000000"/>
                </a:solidFill>
                <a:latin typeface="ＭＳ ゴシック"/>
                <a:ea typeface="ＭＳ ゴシック"/>
                <a:cs typeface="ＭＳ ゴシック"/>
              </a:rPr>
              <a:t>点</a:t>
            </a:r>
          </a:p>
        </c:rich>
      </c:tx>
      <c:layout>
        <c:manualLayout>
          <c:xMode val="factor"/>
          <c:yMode val="factor"/>
          <c:x val="-0.01575"/>
          <c:y val="0.428"/>
        </c:manualLayout>
      </c:layout>
      <c:spPr>
        <a:noFill/>
        <a:ln>
          <a:noFill/>
        </a:ln>
      </c:spPr>
    </c:title>
    <c:plotArea>
      <c:layout>
        <c:manualLayout>
          <c:xMode val="edge"/>
          <c:yMode val="edge"/>
          <c:x val="0.04025"/>
          <c:y val="0.07125"/>
          <c:w val="0.872"/>
          <c:h val="0.89725"/>
        </c:manualLayout>
      </c:layout>
      <c:doughnutChart>
        <c:varyColors val="1"/>
        <c:ser>
          <c:idx val="0"/>
          <c:order val="0"/>
          <c:tx>
            <c:strRef>
              <c:f>'得失Ｂ'!$G$2</c:f>
              <c:strCache>
                <c:ptCount val="1"/>
                <c:pt idx="0">
                  <c:v>得　点</c:v>
                </c:pt>
              </c:strCache>
            </c:strRef>
          </c:tx>
          <c:spPr>
            <a:solidFill>
              <a:srgbClr val="4472C4"/>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Pt>
            <c:idx val="1"/>
            <c:spPr>
              <a:solidFill>
                <a:srgbClr val="FFD1E8"/>
              </a:solidFill>
              <a:ln w="12700">
                <a:solidFill>
                  <a:srgbClr val="000000"/>
                </a:solidFill>
              </a:ln>
            </c:spPr>
          </c:dPt>
          <c:dPt>
            <c:idx val="2"/>
            <c:spPr>
              <a:solidFill>
                <a:srgbClr val="DDFFDD"/>
              </a:solidFill>
              <a:ln w="12700">
                <a:solidFill>
                  <a:srgbClr val="000000"/>
                </a:solidFill>
              </a:ln>
            </c:spPr>
          </c:dPt>
          <c:dLbls>
            <c:dLbl>
              <c:idx val="0"/>
              <c:txPr>
                <a:bodyPr vert="horz" rot="0" anchor="ctr"/>
                <a:lstStyle/>
                <a:p>
                  <a:pPr algn="ctr">
                    <a:defRPr lang="en-US" cap="none" sz="1950" b="0" i="0" u="none" baseline="0">
                      <a:solidFill>
                        <a:srgbClr val="000000"/>
                      </a:solidFill>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2000" b="0" i="0" u="none" baseline="0">
                      <a:solidFill>
                        <a:srgbClr val="000000"/>
                      </a:solidFill>
                      <a:latin typeface="ＭＳ ゴシック"/>
                      <a:ea typeface="ＭＳ ゴシック"/>
                      <a:cs typeface="ＭＳ ゴシック"/>
                    </a:defRPr>
                  </a:pPr>
                </a:p>
              </c:txPr>
              <c:numFmt formatCode="General" sourceLinked="1"/>
              <c:showLegendKey val="0"/>
              <c:showVal val="1"/>
              <c:showBubbleSize val="0"/>
              <c:showCatName val="1"/>
              <c:showSerName val="0"/>
              <c:showPercent val="0"/>
            </c:dLbl>
            <c:numFmt formatCode="General" sourceLinked="1"/>
            <c:txPr>
              <a:bodyPr vert="horz" rot="0" anchor="ctr"/>
              <a:lstStyle/>
              <a:p>
                <a:pPr algn="ctr">
                  <a:defRPr lang="en-US" cap="none" sz="1950" b="0" i="0" u="none" baseline="0">
                    <a:solidFill>
                      <a:srgbClr val="000000"/>
                    </a:solidFill>
                    <a:latin typeface="ＭＳ ゴシック"/>
                    <a:ea typeface="ＭＳ ゴシック"/>
                    <a:cs typeface="ＭＳ ゴシック"/>
                  </a:defRPr>
                </a:pPr>
              </a:p>
            </c:txPr>
            <c:showLegendKey val="0"/>
            <c:showVal val="1"/>
            <c:showBubbleSize val="0"/>
            <c:showCatName val="1"/>
            <c:showSerName val="0"/>
            <c:showLeaderLines val="0"/>
            <c:showPercent val="0"/>
          </c:dLbls>
          <c:cat>
            <c:strRef>
              <c:f>'得失Ｂ'!$H$4:$J$4</c:f>
              <c:strCache/>
            </c:strRef>
          </c:cat>
          <c:val>
            <c:numRef>
              <c:f>'得失Ｂ'!$H$2:$J$2</c:f>
              <c:numCache/>
            </c:numRef>
          </c:val>
        </c:ser>
        <c:holeSize val="40"/>
      </c:doughnutChart>
      <c:spPr>
        <a:solidFill>
          <a:srgbClr val="00FFFF"/>
        </a:solidFill>
        <a:ln w="3175">
          <a:noFill/>
        </a:ln>
      </c:spPr>
    </c:plotArea>
    <c:plotVisOnly val="1"/>
    <c:dispBlanksAs val="zero"/>
    <c:showDLblsOverMax val="0"/>
  </c:chart>
  <c:spPr>
    <a:solidFill>
      <a:srgbClr val="FFFFFF"/>
    </a:solidFill>
    <a:ln w="3175">
      <a:noFill/>
    </a:ln>
  </c:spPr>
  <c:txPr>
    <a:bodyPr vert="horz" rot="0"/>
    <a:lstStyle/>
    <a:p>
      <a:pPr>
        <a:defRPr lang="en-US" cap="none" sz="1175" b="0" i="0" u="none" baseline="0">
          <a:solidFill>
            <a:srgbClr val="000000"/>
          </a:solidFill>
          <a:latin typeface="ＭＳ ゴシック"/>
          <a:ea typeface="ＭＳ ゴシック"/>
          <a:cs typeface="ＭＳ 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25" b="0" i="0" u="none" baseline="0">
                <a:solidFill>
                  <a:srgbClr val="000000"/>
                </a:solidFill>
                <a:latin typeface="ＭＳ ゴシック"/>
                <a:ea typeface="ＭＳ ゴシック"/>
                <a:cs typeface="ＭＳ ゴシック"/>
              </a:rPr>
              <a:t>失</a:t>
            </a:r>
            <a:r>
              <a:rPr lang="en-US" cap="none" sz="3525" b="0" i="0" u="none" baseline="0">
                <a:solidFill>
                  <a:srgbClr val="000000"/>
                </a:solidFill>
                <a:latin typeface="ＭＳ ゴシック"/>
                <a:ea typeface="ＭＳ ゴシック"/>
                <a:cs typeface="ＭＳ ゴシック"/>
              </a:rPr>
              <a:t> </a:t>
            </a:r>
            <a:r>
              <a:rPr lang="en-US" cap="none" sz="3525" b="0" i="0" u="none" baseline="0">
                <a:solidFill>
                  <a:srgbClr val="000000"/>
                </a:solidFill>
                <a:latin typeface="ＭＳ ゴシック"/>
                <a:ea typeface="ＭＳ ゴシック"/>
                <a:cs typeface="ＭＳ ゴシック"/>
              </a:rPr>
              <a:t>点</a:t>
            </a:r>
          </a:p>
        </c:rich>
      </c:tx>
      <c:layout>
        <c:manualLayout>
          <c:xMode val="factor"/>
          <c:yMode val="factor"/>
          <c:x val="-0.009"/>
          <c:y val="0.442"/>
        </c:manualLayout>
      </c:layout>
      <c:spPr>
        <a:noFill/>
        <a:ln>
          <a:noFill/>
        </a:ln>
      </c:spPr>
    </c:title>
    <c:plotArea>
      <c:layout>
        <c:manualLayout>
          <c:xMode val="edge"/>
          <c:yMode val="edge"/>
          <c:x val="0.07725"/>
          <c:y val="0.07575"/>
          <c:w val="0.7825"/>
          <c:h val="0.8985"/>
        </c:manualLayout>
      </c:layout>
      <c:doughnutChart>
        <c:varyColors val="1"/>
        <c:ser>
          <c:idx val="0"/>
          <c:order val="0"/>
          <c:tx>
            <c:strRef>
              <c:f>'得失Ｂ'!$G$3</c:f>
              <c:strCache>
                <c:ptCount val="1"/>
                <c:pt idx="0">
                  <c:v>失　点</c:v>
                </c:pt>
              </c:strCache>
            </c:strRef>
          </c:tx>
          <c:spPr>
            <a:solidFill>
              <a:srgbClr val="4472C4"/>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Pt>
            <c:idx val="1"/>
            <c:spPr>
              <a:solidFill>
                <a:srgbClr val="FFD1E8"/>
              </a:solidFill>
              <a:ln w="12700">
                <a:solidFill>
                  <a:srgbClr val="000000"/>
                </a:solidFill>
              </a:ln>
            </c:spPr>
          </c:dPt>
          <c:dPt>
            <c:idx val="2"/>
            <c:spPr>
              <a:solidFill>
                <a:srgbClr val="DDFFDD"/>
              </a:solidFill>
              <a:ln w="12700">
                <a:solidFill>
                  <a:srgbClr val="000000"/>
                </a:solidFill>
              </a:ln>
            </c:spPr>
          </c:dPt>
          <c:dLbls>
            <c:numFmt formatCode="General" sourceLinked="1"/>
            <c:txPr>
              <a:bodyPr vert="horz" rot="0" anchor="ctr"/>
              <a:lstStyle/>
              <a:p>
                <a:pPr algn="ctr">
                  <a:defRPr lang="en-US" cap="none" sz="1950" b="0" i="0" u="none" baseline="0">
                    <a:solidFill>
                      <a:srgbClr val="000000"/>
                    </a:solidFill>
                    <a:latin typeface="ＭＳ ゴシック"/>
                    <a:ea typeface="ＭＳ ゴシック"/>
                    <a:cs typeface="ＭＳ ゴシック"/>
                  </a:defRPr>
                </a:pPr>
              </a:p>
            </c:txPr>
            <c:showLegendKey val="0"/>
            <c:showVal val="1"/>
            <c:showBubbleSize val="0"/>
            <c:showCatName val="1"/>
            <c:showSerName val="0"/>
            <c:showLeaderLines val="0"/>
            <c:showPercent val="0"/>
          </c:dLbls>
          <c:cat>
            <c:strRef>
              <c:f>'得失Ｂ'!$H$4:$J$4</c:f>
              <c:strCache/>
            </c:strRef>
          </c:cat>
          <c:val>
            <c:numRef>
              <c:f>'得失Ｂ'!$H$3:$J$3</c:f>
              <c:numCache/>
            </c:numRef>
          </c:val>
        </c:ser>
        <c:holeSize val="40"/>
      </c:doughnutChart>
      <c:spPr>
        <a:solidFill>
          <a:srgbClr val="FFFF00"/>
        </a:solidFill>
        <a:ln w="3175">
          <a:noFill/>
        </a:ln>
      </c:spPr>
    </c:plotArea>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ＭＳ ゴシック"/>
          <a:ea typeface="ＭＳ ゴシック"/>
          <a:cs typeface="ＭＳ 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25" b="0" i="0" u="none" baseline="0">
                <a:solidFill>
                  <a:srgbClr val="000000"/>
                </a:solidFill>
                <a:latin typeface="ＭＳ ゴシック"/>
                <a:ea typeface="ＭＳ ゴシック"/>
                <a:cs typeface="ＭＳ ゴシック"/>
              </a:rPr>
              <a:t>得</a:t>
            </a:r>
            <a:r>
              <a:rPr lang="en-US" cap="none" sz="3525" b="0" i="0" u="none" baseline="0">
                <a:solidFill>
                  <a:srgbClr val="000000"/>
                </a:solidFill>
                <a:latin typeface="ＭＳ ゴシック"/>
                <a:ea typeface="ＭＳ ゴシック"/>
                <a:cs typeface="ＭＳ ゴシック"/>
              </a:rPr>
              <a:t> </a:t>
            </a:r>
            <a:r>
              <a:rPr lang="en-US" cap="none" sz="3525" b="0" i="0" u="none" baseline="0">
                <a:solidFill>
                  <a:srgbClr val="000000"/>
                </a:solidFill>
                <a:latin typeface="ＭＳ ゴシック"/>
                <a:ea typeface="ＭＳ ゴシック"/>
                <a:cs typeface="ＭＳ ゴシック"/>
              </a:rPr>
              <a:t>点</a:t>
            </a:r>
          </a:p>
        </c:rich>
      </c:tx>
      <c:layout>
        <c:manualLayout>
          <c:xMode val="factor"/>
          <c:yMode val="factor"/>
          <c:x val="-0.02975"/>
          <c:y val="0.4245"/>
        </c:manualLayout>
      </c:layout>
      <c:spPr>
        <a:noFill/>
        <a:ln>
          <a:noFill/>
        </a:ln>
      </c:spPr>
    </c:title>
    <c:plotArea>
      <c:layout>
        <c:manualLayout>
          <c:xMode val="edge"/>
          <c:yMode val="edge"/>
          <c:x val="0.062"/>
          <c:y val="0.0715"/>
          <c:w val="0.82625"/>
          <c:h val="0.90575"/>
        </c:manualLayout>
      </c:layout>
      <c:doughnutChart>
        <c:varyColors val="1"/>
        <c:ser>
          <c:idx val="0"/>
          <c:order val="0"/>
          <c:tx>
            <c:strRef>
              <c:f>'得失Ｃ'!$G$2</c:f>
              <c:strCache>
                <c:ptCount val="1"/>
                <c:pt idx="0">
                  <c:v>得　点</c:v>
                </c:pt>
              </c:strCache>
            </c:strRef>
          </c:tx>
          <c:spPr>
            <a:solidFill>
              <a:srgbClr val="4472C4"/>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Pt>
            <c:idx val="1"/>
            <c:spPr>
              <a:solidFill>
                <a:srgbClr val="E1FFFF"/>
              </a:solidFill>
              <a:ln w="12700">
                <a:solidFill>
                  <a:srgbClr val="000000"/>
                </a:solidFill>
              </a:ln>
            </c:spPr>
          </c:dPt>
          <c:dPt>
            <c:idx val="2"/>
            <c:spPr>
              <a:solidFill>
                <a:srgbClr val="DDFFDD"/>
              </a:solidFill>
              <a:ln w="12700">
                <a:solidFill>
                  <a:srgbClr val="000000"/>
                </a:solidFill>
              </a:ln>
            </c:spPr>
          </c:dPt>
          <c:dLbls>
            <c:dLbl>
              <c:idx val="0"/>
              <c:txPr>
                <a:bodyPr vert="horz" rot="0" anchor="ctr"/>
                <a:lstStyle/>
                <a:p>
                  <a:pPr algn="ctr">
                    <a:defRPr lang="en-US" cap="none" sz="1925" b="0" i="0" u="none" baseline="0">
                      <a:solidFill>
                        <a:srgbClr val="000000"/>
                      </a:solidFill>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1"/>
              <c:txPr>
                <a:bodyPr vert="horz" rot="0" anchor="ctr"/>
                <a:lstStyle/>
                <a:p>
                  <a:pPr algn="ctr">
                    <a:defRPr lang="en-US" cap="none" sz="1925" b="0" i="0" u="none" baseline="0">
                      <a:solidFill>
                        <a:srgbClr val="000000"/>
                      </a:solidFill>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1925" b="0" i="0" u="none" baseline="0">
                      <a:solidFill>
                        <a:srgbClr val="000000"/>
                      </a:solidFill>
                      <a:latin typeface="ＭＳ ゴシック"/>
                      <a:ea typeface="ＭＳ ゴシック"/>
                      <a:cs typeface="ＭＳ ゴシック"/>
                    </a:defRPr>
                  </a:pPr>
                </a:p>
              </c:txPr>
              <c:numFmt formatCode="General" sourceLinked="1"/>
              <c:showLegendKey val="0"/>
              <c:showVal val="1"/>
              <c:showBubbleSize val="0"/>
              <c:showCatName val="1"/>
              <c:showSerName val="0"/>
              <c:showPercent val="0"/>
            </c:dLbl>
            <c:numFmt formatCode="General" sourceLinked="1"/>
            <c:txPr>
              <a:bodyPr vert="horz" rot="0" anchor="ctr"/>
              <a:lstStyle/>
              <a:p>
                <a:pPr algn="ctr">
                  <a:defRPr lang="en-US" cap="none" sz="1925" b="0" i="0" u="none" baseline="0">
                    <a:solidFill>
                      <a:srgbClr val="000000"/>
                    </a:solidFill>
                    <a:latin typeface="ＭＳ ゴシック"/>
                    <a:ea typeface="ＭＳ ゴシック"/>
                    <a:cs typeface="ＭＳ ゴシック"/>
                  </a:defRPr>
                </a:pPr>
              </a:p>
            </c:txPr>
            <c:showLegendKey val="0"/>
            <c:showVal val="1"/>
            <c:showBubbleSize val="0"/>
            <c:showCatName val="1"/>
            <c:showSerName val="0"/>
            <c:showLeaderLines val="0"/>
            <c:showPercent val="0"/>
          </c:dLbls>
          <c:cat>
            <c:strRef>
              <c:f>'得失Ｃ'!$H$4:$J$4</c:f>
              <c:strCache/>
            </c:strRef>
          </c:cat>
          <c:val>
            <c:numRef>
              <c:f>'得失Ｃ'!$H$2:$J$2</c:f>
              <c:numCache/>
            </c:numRef>
          </c:val>
        </c:ser>
        <c:holeSize val="40"/>
      </c:doughnutChart>
      <c:spPr>
        <a:solidFill>
          <a:srgbClr val="00FFFF"/>
        </a:solidFill>
        <a:ln w="3175">
          <a:noFill/>
        </a:ln>
      </c:spPr>
    </c:plotArea>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ＭＳ ゴシック"/>
          <a:ea typeface="ＭＳ ゴシック"/>
          <a:cs typeface="ＭＳ 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25" b="0" i="0" u="none" baseline="0">
                <a:solidFill>
                  <a:srgbClr val="000000"/>
                </a:solidFill>
                <a:latin typeface="ＭＳ ゴシック"/>
                <a:ea typeface="ＭＳ ゴシック"/>
                <a:cs typeface="ＭＳ ゴシック"/>
              </a:rPr>
              <a:t>失</a:t>
            </a:r>
            <a:r>
              <a:rPr lang="en-US" cap="none" sz="3525" b="0" i="0" u="none" baseline="0">
                <a:solidFill>
                  <a:srgbClr val="000000"/>
                </a:solidFill>
                <a:latin typeface="ＭＳ ゴシック"/>
                <a:ea typeface="ＭＳ ゴシック"/>
                <a:cs typeface="ＭＳ ゴシック"/>
              </a:rPr>
              <a:t> </a:t>
            </a:r>
            <a:r>
              <a:rPr lang="en-US" cap="none" sz="3525" b="0" i="0" u="none" baseline="0">
                <a:solidFill>
                  <a:srgbClr val="000000"/>
                </a:solidFill>
                <a:latin typeface="ＭＳ ゴシック"/>
                <a:ea typeface="ＭＳ ゴシック"/>
                <a:cs typeface="ＭＳ ゴシック"/>
              </a:rPr>
              <a:t>点</a:t>
            </a:r>
          </a:p>
        </c:rich>
      </c:tx>
      <c:layout>
        <c:manualLayout>
          <c:xMode val="factor"/>
          <c:yMode val="factor"/>
          <c:x val="-0.01"/>
          <c:y val="0.442"/>
        </c:manualLayout>
      </c:layout>
      <c:spPr>
        <a:noFill/>
        <a:ln>
          <a:noFill/>
        </a:ln>
      </c:spPr>
    </c:title>
    <c:plotArea>
      <c:layout>
        <c:manualLayout>
          <c:xMode val="edge"/>
          <c:yMode val="edge"/>
          <c:x val="0.05375"/>
          <c:y val="0.0805"/>
          <c:w val="0.85625"/>
          <c:h val="0.90175"/>
        </c:manualLayout>
      </c:layout>
      <c:doughnutChart>
        <c:varyColors val="1"/>
        <c:ser>
          <c:idx val="0"/>
          <c:order val="0"/>
          <c:tx>
            <c:strRef>
              <c:f>'得失Ｃ'!$G$3</c:f>
              <c:strCache>
                <c:ptCount val="1"/>
                <c:pt idx="0">
                  <c:v>失　点</c:v>
                </c:pt>
              </c:strCache>
            </c:strRef>
          </c:tx>
          <c:spPr>
            <a:solidFill>
              <a:srgbClr val="4472C4"/>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Pt>
            <c:idx val="1"/>
            <c:spPr>
              <a:solidFill>
                <a:srgbClr val="E1FFFF"/>
              </a:solidFill>
              <a:ln w="12700">
                <a:solidFill>
                  <a:srgbClr val="000000"/>
                </a:solidFill>
              </a:ln>
            </c:spPr>
          </c:dPt>
          <c:dPt>
            <c:idx val="2"/>
            <c:spPr>
              <a:solidFill>
                <a:srgbClr val="DDFFDD"/>
              </a:solidFill>
              <a:ln w="12700">
                <a:solidFill>
                  <a:srgbClr val="000000"/>
                </a:solidFill>
              </a:ln>
            </c:spPr>
          </c:dPt>
          <c:dLbls>
            <c:dLbl>
              <c:idx val="0"/>
              <c:txPr>
                <a:bodyPr vert="horz" rot="0" anchor="ctr"/>
                <a:lstStyle/>
                <a:p>
                  <a:pPr algn="ctr">
                    <a:defRPr lang="en-US" cap="none" sz="1950" b="0" i="0" u="none" baseline="0">
                      <a:solidFill>
                        <a:srgbClr val="000000"/>
                      </a:solidFill>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1"/>
              <c:txPr>
                <a:bodyPr vert="horz" rot="0" anchor="ctr"/>
                <a:lstStyle/>
                <a:p>
                  <a:pPr algn="ctr">
                    <a:defRPr lang="en-US" cap="none" sz="1950" b="0" i="0" u="none" baseline="0">
                      <a:solidFill>
                        <a:srgbClr val="000000"/>
                      </a:solidFill>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1950" b="0" i="0" u="none" baseline="0">
                      <a:solidFill>
                        <a:srgbClr val="000000"/>
                      </a:solidFill>
                      <a:latin typeface="ＭＳ ゴシック"/>
                      <a:ea typeface="ＭＳ ゴシック"/>
                      <a:cs typeface="ＭＳ ゴシック"/>
                    </a:defRPr>
                  </a:pPr>
                </a:p>
              </c:txPr>
              <c:numFmt formatCode="General" sourceLinked="1"/>
              <c:showLegendKey val="0"/>
              <c:showVal val="1"/>
              <c:showBubbleSize val="0"/>
              <c:showCatName val="1"/>
              <c:showSerName val="0"/>
              <c:showPercent val="0"/>
            </c:dLbl>
            <c:numFmt formatCode="General" sourceLinked="1"/>
            <c:txPr>
              <a:bodyPr vert="horz" rot="0" anchor="ctr"/>
              <a:lstStyle/>
              <a:p>
                <a:pPr algn="ctr">
                  <a:defRPr lang="en-US" cap="none" sz="1950" b="0" i="0" u="none" baseline="0">
                    <a:solidFill>
                      <a:srgbClr val="000000"/>
                    </a:solidFill>
                    <a:latin typeface="ＭＳ ゴシック"/>
                    <a:ea typeface="ＭＳ ゴシック"/>
                    <a:cs typeface="ＭＳ ゴシック"/>
                  </a:defRPr>
                </a:pPr>
              </a:p>
            </c:txPr>
            <c:showLegendKey val="0"/>
            <c:showVal val="1"/>
            <c:showBubbleSize val="0"/>
            <c:showCatName val="1"/>
            <c:showSerName val="0"/>
            <c:showLeaderLines val="0"/>
            <c:showPercent val="0"/>
          </c:dLbls>
          <c:cat>
            <c:strRef>
              <c:f>'得失Ｃ'!$H$4:$J$4</c:f>
              <c:strCache/>
            </c:strRef>
          </c:cat>
          <c:val>
            <c:numRef>
              <c:f>'得失Ｃ'!$H$3:$J$3</c:f>
              <c:numCache/>
            </c:numRef>
          </c:val>
        </c:ser>
        <c:holeSize val="40"/>
      </c:doughnutChart>
      <c:spPr>
        <a:solidFill>
          <a:srgbClr val="FFFF00"/>
        </a:solidFill>
        <a:ln w="3175">
          <a:noFill/>
        </a:ln>
      </c:spPr>
    </c:plotArea>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ＭＳ ゴシック"/>
          <a:ea typeface="ＭＳ ゴシック"/>
          <a:cs typeface="ＭＳ 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25" b="0" i="0" u="none" baseline="0">
                <a:solidFill>
                  <a:srgbClr val="000000"/>
                </a:solidFill>
                <a:latin typeface="ＭＳ ゴシック"/>
                <a:ea typeface="ＭＳ ゴシック"/>
                <a:cs typeface="ＭＳ ゴシック"/>
              </a:rPr>
              <a:t>得</a:t>
            </a:r>
            <a:r>
              <a:rPr lang="en-US" cap="none" sz="3525" b="0" i="0" u="none" baseline="0">
                <a:solidFill>
                  <a:srgbClr val="000000"/>
                </a:solidFill>
                <a:latin typeface="ＭＳ ゴシック"/>
                <a:ea typeface="ＭＳ ゴシック"/>
                <a:cs typeface="ＭＳ ゴシック"/>
              </a:rPr>
              <a:t> </a:t>
            </a:r>
            <a:r>
              <a:rPr lang="en-US" cap="none" sz="3525" b="0" i="0" u="none" baseline="0">
                <a:solidFill>
                  <a:srgbClr val="000000"/>
                </a:solidFill>
                <a:latin typeface="ＭＳ ゴシック"/>
                <a:ea typeface="ＭＳ ゴシック"/>
                <a:cs typeface="ＭＳ ゴシック"/>
              </a:rPr>
              <a:t>点</a:t>
            </a:r>
          </a:p>
        </c:rich>
      </c:tx>
      <c:layout>
        <c:manualLayout>
          <c:xMode val="factor"/>
          <c:yMode val="factor"/>
          <c:x val="-0.031"/>
          <c:y val="0.43975"/>
        </c:manualLayout>
      </c:layout>
      <c:spPr>
        <a:noFill/>
        <a:ln>
          <a:noFill/>
        </a:ln>
      </c:spPr>
    </c:title>
    <c:plotArea>
      <c:layout>
        <c:manualLayout>
          <c:xMode val="edge"/>
          <c:yMode val="edge"/>
          <c:x val="0.0675"/>
          <c:y val="0.069"/>
          <c:w val="0.81875"/>
          <c:h val="0.9165"/>
        </c:manualLayout>
      </c:layout>
      <c:doughnutChart>
        <c:varyColors val="1"/>
        <c:ser>
          <c:idx val="0"/>
          <c:order val="0"/>
          <c:tx>
            <c:strRef>
              <c:f>'得失Ｄ'!$G$2</c:f>
              <c:strCache>
                <c:ptCount val="1"/>
                <c:pt idx="0">
                  <c:v>得　点</c:v>
                </c:pt>
              </c:strCache>
            </c:strRef>
          </c:tx>
          <c:spPr>
            <a:solidFill>
              <a:srgbClr val="4472C4"/>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Pt>
            <c:idx val="1"/>
            <c:spPr>
              <a:solidFill>
                <a:srgbClr val="E1FFFF"/>
              </a:solidFill>
              <a:ln w="12700">
                <a:solidFill>
                  <a:srgbClr val="000000"/>
                </a:solidFill>
              </a:ln>
            </c:spPr>
          </c:dPt>
          <c:dPt>
            <c:idx val="2"/>
            <c:spPr>
              <a:solidFill>
                <a:srgbClr val="FFD1E8"/>
              </a:solidFill>
              <a:ln w="12700">
                <a:solidFill>
                  <a:srgbClr val="000000"/>
                </a:solidFill>
              </a:ln>
            </c:spPr>
          </c:dPt>
          <c:dLbls>
            <c:dLbl>
              <c:idx val="0"/>
              <c:txPr>
                <a:bodyPr vert="horz" rot="0" anchor="ctr"/>
                <a:lstStyle/>
                <a:p>
                  <a:pPr algn="ctr">
                    <a:defRPr lang="en-US" cap="none" sz="1925" b="0" i="0" u="none" baseline="0">
                      <a:solidFill>
                        <a:srgbClr val="000000"/>
                      </a:solidFill>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1925" b="0" i="0" u="none" baseline="0">
                      <a:solidFill>
                        <a:srgbClr val="000000"/>
                      </a:solidFill>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1925" b="0" i="0" u="none" baseline="0">
                      <a:solidFill>
                        <a:srgbClr val="000000"/>
                      </a:solidFill>
                      <a:latin typeface="ＭＳ ゴシック"/>
                      <a:ea typeface="ＭＳ ゴシック"/>
                      <a:cs typeface="ＭＳ ゴシック"/>
                    </a:defRPr>
                  </a:pPr>
                </a:p>
              </c:txPr>
              <c:numFmt formatCode="General" sourceLinked="1"/>
              <c:showLegendKey val="0"/>
              <c:showVal val="1"/>
              <c:showBubbleSize val="0"/>
              <c:showCatName val="1"/>
              <c:showSerName val="0"/>
              <c:showPercent val="0"/>
            </c:dLbl>
            <c:numFmt formatCode="General" sourceLinked="1"/>
            <c:txPr>
              <a:bodyPr vert="horz" rot="0" anchor="ctr"/>
              <a:lstStyle/>
              <a:p>
                <a:pPr algn="ctr">
                  <a:defRPr lang="en-US" cap="none" sz="1925" b="0" i="0" u="none" baseline="0">
                    <a:solidFill>
                      <a:srgbClr val="000000"/>
                    </a:solidFill>
                    <a:latin typeface="ＭＳ ゴシック"/>
                    <a:ea typeface="ＭＳ ゴシック"/>
                    <a:cs typeface="ＭＳ ゴシック"/>
                  </a:defRPr>
                </a:pPr>
              </a:p>
            </c:txPr>
            <c:showLegendKey val="0"/>
            <c:showVal val="1"/>
            <c:showBubbleSize val="0"/>
            <c:showCatName val="1"/>
            <c:showSerName val="0"/>
            <c:showLeaderLines val="0"/>
            <c:showPercent val="0"/>
          </c:dLbls>
          <c:cat>
            <c:strRef>
              <c:f>'得失Ｄ'!$H$4:$J$4</c:f>
              <c:strCache/>
            </c:strRef>
          </c:cat>
          <c:val>
            <c:numRef>
              <c:f>'得失Ｄ'!$H$2:$J$2</c:f>
              <c:numCache/>
            </c:numRef>
          </c:val>
        </c:ser>
        <c:holeSize val="40"/>
      </c:doughnutChart>
      <c:spPr>
        <a:solidFill>
          <a:srgbClr val="00FFFF"/>
        </a:solidFill>
        <a:ln w="3175">
          <a:noFill/>
        </a:ln>
      </c:spPr>
    </c:plotArea>
    <c:plotVisOnly val="1"/>
    <c:dispBlanksAs val="zero"/>
    <c:showDLblsOverMax val="0"/>
  </c:chart>
  <c:spPr>
    <a:solidFill>
      <a:srgbClr val="FFFFFF"/>
    </a:solidFill>
    <a:ln w="3175">
      <a:noFill/>
    </a:ln>
  </c:spPr>
  <c:txPr>
    <a:bodyPr vert="horz" rot="0"/>
    <a:lstStyle/>
    <a:p>
      <a:pPr>
        <a:defRPr lang="en-US" cap="none" sz="1175" b="0" i="0" u="none" baseline="0">
          <a:solidFill>
            <a:srgbClr val="000000"/>
          </a:solidFill>
          <a:latin typeface="ＭＳ ゴシック"/>
          <a:ea typeface="ＭＳ ゴシック"/>
          <a:cs typeface="ＭＳ 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25" b="0" i="0" u="none" baseline="0">
                <a:solidFill>
                  <a:srgbClr val="000000"/>
                </a:solidFill>
                <a:latin typeface="ＭＳ ゴシック"/>
                <a:ea typeface="ＭＳ ゴシック"/>
                <a:cs typeface="ＭＳ ゴシック"/>
              </a:rPr>
              <a:t>失</a:t>
            </a:r>
            <a:r>
              <a:rPr lang="en-US" cap="none" sz="3525" b="0" i="0" u="none" baseline="0">
                <a:solidFill>
                  <a:srgbClr val="000000"/>
                </a:solidFill>
                <a:latin typeface="ＭＳ ゴシック"/>
                <a:ea typeface="ＭＳ ゴシック"/>
                <a:cs typeface="ＭＳ ゴシック"/>
              </a:rPr>
              <a:t> </a:t>
            </a:r>
            <a:r>
              <a:rPr lang="en-US" cap="none" sz="3525" b="0" i="0" u="none" baseline="0">
                <a:solidFill>
                  <a:srgbClr val="000000"/>
                </a:solidFill>
                <a:latin typeface="ＭＳ ゴシック"/>
                <a:ea typeface="ＭＳ ゴシック"/>
                <a:cs typeface="ＭＳ ゴシック"/>
              </a:rPr>
              <a:t>点</a:t>
            </a:r>
          </a:p>
        </c:rich>
      </c:tx>
      <c:layout>
        <c:manualLayout>
          <c:xMode val="factor"/>
          <c:yMode val="factor"/>
          <c:x val="-0.00875"/>
          <c:y val="0.442"/>
        </c:manualLayout>
      </c:layout>
      <c:spPr>
        <a:noFill/>
        <a:ln>
          <a:noFill/>
        </a:ln>
      </c:spPr>
    </c:title>
    <c:plotArea>
      <c:layout>
        <c:manualLayout>
          <c:xMode val="edge"/>
          <c:yMode val="edge"/>
          <c:x val="0.10125"/>
          <c:y val="0.0795"/>
          <c:w val="0.754"/>
          <c:h val="0.899"/>
        </c:manualLayout>
      </c:layout>
      <c:doughnutChart>
        <c:varyColors val="1"/>
        <c:ser>
          <c:idx val="0"/>
          <c:order val="0"/>
          <c:tx>
            <c:strRef>
              <c:f>'得失Ｄ'!$G$3</c:f>
              <c:strCache>
                <c:ptCount val="1"/>
                <c:pt idx="0">
                  <c:v>失　点</c:v>
                </c:pt>
              </c:strCache>
            </c:strRef>
          </c:tx>
          <c:spPr>
            <a:solidFill>
              <a:srgbClr val="4472C4"/>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Pt>
            <c:idx val="1"/>
            <c:spPr>
              <a:solidFill>
                <a:srgbClr val="E1FFFF"/>
              </a:solidFill>
              <a:ln w="12700">
                <a:solidFill>
                  <a:srgbClr val="000000"/>
                </a:solidFill>
              </a:ln>
            </c:spPr>
          </c:dPt>
          <c:dPt>
            <c:idx val="2"/>
            <c:spPr>
              <a:solidFill>
                <a:srgbClr val="FFD1E8"/>
              </a:solidFill>
              <a:ln w="12700">
                <a:solidFill>
                  <a:srgbClr val="000000"/>
                </a:solidFill>
              </a:ln>
            </c:spPr>
          </c:dPt>
          <c:dLbls>
            <c:dLbl>
              <c:idx val="0"/>
              <c:txPr>
                <a:bodyPr vert="horz" rot="0" anchor="ctr"/>
                <a:lstStyle/>
                <a:p>
                  <a:pPr algn="ctr">
                    <a:defRPr lang="en-US" cap="none" sz="1950" b="0" i="0" u="none" baseline="0">
                      <a:solidFill>
                        <a:srgbClr val="000000"/>
                      </a:solidFill>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1"/>
              <c:txPr>
                <a:bodyPr vert="horz" rot="0" anchor="ctr"/>
                <a:lstStyle/>
                <a:p>
                  <a:pPr algn="ctr">
                    <a:defRPr lang="en-US" cap="none" sz="1950" b="0" i="0" u="none" baseline="0">
                      <a:solidFill>
                        <a:srgbClr val="000000"/>
                      </a:solidFill>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1950" b="0" i="0" u="none" baseline="0">
                      <a:solidFill>
                        <a:srgbClr val="000000"/>
                      </a:solidFill>
                      <a:latin typeface="ＭＳ ゴシック"/>
                      <a:ea typeface="ＭＳ ゴシック"/>
                      <a:cs typeface="ＭＳ ゴシック"/>
                    </a:defRPr>
                  </a:pPr>
                </a:p>
              </c:txPr>
              <c:numFmt formatCode="General" sourceLinked="1"/>
              <c:showLegendKey val="0"/>
              <c:showVal val="1"/>
              <c:showBubbleSize val="0"/>
              <c:showCatName val="1"/>
              <c:showSerName val="0"/>
              <c:showPercent val="0"/>
            </c:dLbl>
            <c:numFmt formatCode="General" sourceLinked="1"/>
            <c:txPr>
              <a:bodyPr vert="horz" rot="0" anchor="ctr"/>
              <a:lstStyle/>
              <a:p>
                <a:pPr algn="ctr">
                  <a:defRPr lang="en-US" cap="none" sz="1950" b="0" i="0" u="none" baseline="0">
                    <a:solidFill>
                      <a:srgbClr val="000000"/>
                    </a:solidFill>
                    <a:latin typeface="ＭＳ ゴシック"/>
                    <a:ea typeface="ＭＳ ゴシック"/>
                    <a:cs typeface="ＭＳ ゴシック"/>
                  </a:defRPr>
                </a:pPr>
              </a:p>
            </c:txPr>
            <c:showLegendKey val="0"/>
            <c:showVal val="1"/>
            <c:showBubbleSize val="0"/>
            <c:showCatName val="1"/>
            <c:showSerName val="0"/>
            <c:showLeaderLines val="0"/>
            <c:showPercent val="0"/>
          </c:dLbls>
          <c:cat>
            <c:strRef>
              <c:f>'得失Ｄ'!$H$4:$J$4</c:f>
              <c:strCache/>
            </c:strRef>
          </c:cat>
          <c:val>
            <c:numRef>
              <c:f>'得失Ｄ'!$H$3:$J$3</c:f>
              <c:numCache/>
            </c:numRef>
          </c:val>
        </c:ser>
        <c:holeSize val="40"/>
      </c:doughnutChart>
      <c:spPr>
        <a:solidFill>
          <a:srgbClr val="FFFF00"/>
        </a:solidFill>
        <a:ln w="3175">
          <a:noFill/>
        </a:ln>
      </c:spPr>
    </c:plotArea>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ＭＳ ゴシック"/>
          <a:ea typeface="ＭＳ ゴシック"/>
          <a:cs typeface="ＭＳ ゴシック"/>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6</xdr:row>
      <xdr:rowOff>85725</xdr:rowOff>
    </xdr:from>
    <xdr:to>
      <xdr:col>9</xdr:col>
      <xdr:colOff>466725</xdr:colOff>
      <xdr:row>6</xdr:row>
      <xdr:rowOff>276225</xdr:rowOff>
    </xdr:to>
    <xdr:sp>
      <xdr:nvSpPr>
        <xdr:cNvPr id="1" name="Text Box 1"/>
        <xdr:cNvSpPr txBox="1">
          <a:spLocks noChangeArrowheads="1"/>
        </xdr:cNvSpPr>
      </xdr:nvSpPr>
      <xdr:spPr>
        <a:xfrm>
          <a:off x="2895600" y="1143000"/>
          <a:ext cx="4467225" cy="190500"/>
        </a:xfrm>
        <a:prstGeom prst="rect">
          <a:avLst/>
        </a:prstGeom>
        <a:solidFill>
          <a:srgbClr val="FFFFFF"/>
        </a:solidFill>
        <a:ln w="9525" cmpd="sng">
          <a:noFill/>
        </a:ln>
      </xdr:spPr>
      <xdr:txBody>
        <a:bodyPr vertOverflow="clip" wrap="square" lIns="36576" tIns="22860" rIns="36576" bIns="0"/>
        <a:p>
          <a:pPr algn="ctr">
            <a:defRPr/>
          </a:pPr>
          <a:r>
            <a:rPr lang="en-US" cap="none" sz="1200" b="0" i="0" u="none" baseline="0">
              <a:solidFill>
                <a:srgbClr val="000000"/>
              </a:solidFill>
              <a:latin typeface="ＭＳ ゴシック"/>
              <a:ea typeface="ＭＳ ゴシック"/>
              <a:cs typeface="ＭＳ ゴシック"/>
            </a:rPr>
            <a:t>チーム名</a:t>
          </a:r>
        </a:p>
      </xdr:txBody>
    </xdr:sp>
    <xdr:clientData/>
  </xdr:twoCellAnchor>
  <xdr:twoCellAnchor>
    <xdr:from>
      <xdr:col>3</xdr:col>
      <xdr:colOff>352425</xdr:colOff>
      <xdr:row>7</xdr:row>
      <xdr:rowOff>76200</xdr:rowOff>
    </xdr:from>
    <xdr:to>
      <xdr:col>3</xdr:col>
      <xdr:colOff>600075</xdr:colOff>
      <xdr:row>12</xdr:row>
      <xdr:rowOff>114300</xdr:rowOff>
    </xdr:to>
    <xdr:sp>
      <xdr:nvSpPr>
        <xdr:cNvPr id="2" name="Text Box 2"/>
        <xdr:cNvSpPr txBox="1">
          <a:spLocks noChangeArrowheads="1"/>
        </xdr:cNvSpPr>
      </xdr:nvSpPr>
      <xdr:spPr>
        <a:xfrm>
          <a:off x="1895475" y="1485900"/>
          <a:ext cx="247650" cy="895350"/>
        </a:xfrm>
        <a:prstGeom prst="rect">
          <a:avLst/>
        </a:prstGeom>
        <a:solidFill>
          <a:srgbClr val="FFFFFF"/>
        </a:solidFill>
        <a:ln w="9525" cmpd="sng">
          <a:noFill/>
        </a:ln>
      </xdr:spPr>
      <xdr:txBody>
        <a:bodyPr vertOverflow="clip" wrap="square" lIns="36576" tIns="0" rIns="36576" bIns="0" anchor="ctr" vert="wordArtVertRtl"/>
        <a:p>
          <a:pPr algn="ctr">
            <a:defRPr/>
          </a:pPr>
          <a:r>
            <a:rPr lang="en-US" cap="none" sz="1200" b="0" i="0" u="none" baseline="0">
              <a:solidFill>
                <a:srgbClr val="000000"/>
              </a:solidFill>
              <a:latin typeface="ＭＳ ゴシック"/>
              <a:ea typeface="ＭＳ ゴシック"/>
              <a:cs typeface="ＭＳ ゴシック"/>
            </a:rPr>
            <a:t>チーム名</a:t>
          </a:r>
        </a:p>
      </xdr:txBody>
    </xdr:sp>
    <xdr:clientData/>
  </xdr:twoCellAnchor>
  <xdr:twoCellAnchor>
    <xdr:from>
      <xdr:col>3</xdr:col>
      <xdr:colOff>0</xdr:colOff>
      <xdr:row>6</xdr:row>
      <xdr:rowOff>0</xdr:rowOff>
    </xdr:from>
    <xdr:to>
      <xdr:col>4</xdr:col>
      <xdr:colOff>9525</xdr:colOff>
      <xdr:row>7</xdr:row>
      <xdr:rowOff>9525</xdr:rowOff>
    </xdr:to>
    <xdr:sp>
      <xdr:nvSpPr>
        <xdr:cNvPr id="3" name="Line 3"/>
        <xdr:cNvSpPr>
          <a:spLocks/>
        </xdr:cNvSpPr>
      </xdr:nvSpPr>
      <xdr:spPr>
        <a:xfrm>
          <a:off x="1543050" y="1057275"/>
          <a:ext cx="9810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476250</xdr:colOff>
      <xdr:row>37</xdr:row>
      <xdr:rowOff>28575</xdr:rowOff>
    </xdr:from>
    <xdr:to>
      <xdr:col>7</xdr:col>
      <xdr:colOff>838200</xdr:colOff>
      <xdr:row>38</xdr:row>
      <xdr:rowOff>0</xdr:rowOff>
    </xdr:to>
    <xdr:sp fLocksText="0">
      <xdr:nvSpPr>
        <xdr:cNvPr id="4" name="Text Box 14"/>
        <xdr:cNvSpPr txBox="1">
          <a:spLocks noChangeArrowheads="1"/>
        </xdr:cNvSpPr>
      </xdr:nvSpPr>
      <xdr:spPr>
        <a:xfrm>
          <a:off x="4800600" y="6629400"/>
          <a:ext cx="1219200" cy="142875"/>
        </a:xfrm>
        <a:prstGeom prst="rect">
          <a:avLst/>
        </a:prstGeom>
        <a:solidFill>
          <a:srgbClr val="DDFFDD"/>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95</xdr:row>
      <xdr:rowOff>9525</xdr:rowOff>
    </xdr:from>
    <xdr:to>
      <xdr:col>4</xdr:col>
      <xdr:colOff>819150</xdr:colOff>
      <xdr:row>96</xdr:row>
      <xdr:rowOff>0</xdr:rowOff>
    </xdr:to>
    <xdr:sp fLocksText="0">
      <xdr:nvSpPr>
        <xdr:cNvPr id="5" name="Text Box 15"/>
        <xdr:cNvSpPr txBox="1">
          <a:spLocks noChangeArrowheads="1"/>
        </xdr:cNvSpPr>
      </xdr:nvSpPr>
      <xdr:spPr>
        <a:xfrm>
          <a:off x="2514600" y="16716375"/>
          <a:ext cx="819150" cy="161925"/>
        </a:xfrm>
        <a:prstGeom prst="rect">
          <a:avLst/>
        </a:prstGeom>
        <a:solidFill>
          <a:srgbClr val="DDFFDD"/>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9525</xdr:colOff>
      <xdr:row>96</xdr:row>
      <xdr:rowOff>28575</xdr:rowOff>
    </xdr:from>
    <xdr:to>
      <xdr:col>5</xdr:col>
      <xdr:colOff>762000</xdr:colOff>
      <xdr:row>96</xdr:row>
      <xdr:rowOff>161925</xdr:rowOff>
    </xdr:to>
    <xdr:sp fLocksText="0">
      <xdr:nvSpPr>
        <xdr:cNvPr id="6" name="Text Box 16"/>
        <xdr:cNvSpPr txBox="1">
          <a:spLocks noChangeArrowheads="1"/>
        </xdr:cNvSpPr>
      </xdr:nvSpPr>
      <xdr:spPr>
        <a:xfrm>
          <a:off x="3476625" y="16906875"/>
          <a:ext cx="752475" cy="133350"/>
        </a:xfrm>
        <a:prstGeom prst="rect">
          <a:avLst/>
        </a:prstGeom>
        <a:solidFill>
          <a:srgbClr val="FFD1E8"/>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2</xdr:row>
      <xdr:rowOff>47625</xdr:rowOff>
    </xdr:from>
    <xdr:to>
      <xdr:col>3</xdr:col>
      <xdr:colOff>923925</xdr:colOff>
      <xdr:row>4</xdr:row>
      <xdr:rowOff>0</xdr:rowOff>
    </xdr:to>
    <xdr:sp>
      <xdr:nvSpPr>
        <xdr:cNvPr id="1" name="Line 2"/>
        <xdr:cNvSpPr>
          <a:spLocks/>
        </xdr:cNvSpPr>
      </xdr:nvSpPr>
      <xdr:spPr>
        <a:xfrm>
          <a:off x="2200275" y="390525"/>
          <a:ext cx="828675" cy="304800"/>
        </a:xfrm>
        <a:prstGeom prst="line">
          <a:avLst/>
        </a:prstGeom>
        <a:noFill/>
        <a:ln w="76200" cmpd="sng">
          <a:solidFill>
            <a:srgbClr val="FFABFF"/>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4</xdr:row>
      <xdr:rowOff>47625</xdr:rowOff>
    </xdr:from>
    <xdr:to>
      <xdr:col>8</xdr:col>
      <xdr:colOff>180975</xdr:colOff>
      <xdr:row>8</xdr:row>
      <xdr:rowOff>9525</xdr:rowOff>
    </xdr:to>
    <xdr:sp>
      <xdr:nvSpPr>
        <xdr:cNvPr id="1" name="AutoShape 12"/>
        <xdr:cNvSpPr>
          <a:spLocks/>
        </xdr:cNvSpPr>
      </xdr:nvSpPr>
      <xdr:spPr>
        <a:xfrm>
          <a:off x="7172325" y="742950"/>
          <a:ext cx="114300" cy="647700"/>
        </a:xfrm>
        <a:prstGeom prst="righ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76200</xdr:colOff>
      <xdr:row>8</xdr:row>
      <xdr:rowOff>47625</xdr:rowOff>
    </xdr:from>
    <xdr:to>
      <xdr:col>8</xdr:col>
      <xdr:colOff>180975</xdr:colOff>
      <xdr:row>12</xdr:row>
      <xdr:rowOff>9525</xdr:rowOff>
    </xdr:to>
    <xdr:sp>
      <xdr:nvSpPr>
        <xdr:cNvPr id="2" name="AutoShape 13"/>
        <xdr:cNvSpPr>
          <a:spLocks/>
        </xdr:cNvSpPr>
      </xdr:nvSpPr>
      <xdr:spPr>
        <a:xfrm>
          <a:off x="7172325" y="1428750"/>
          <a:ext cx="114300" cy="657225"/>
        </a:xfrm>
        <a:prstGeom prst="rightBrace">
          <a:avLst>
            <a:gd name="adj" fmla="val 9342"/>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85725</xdr:colOff>
      <xdr:row>0</xdr:row>
      <xdr:rowOff>9525</xdr:rowOff>
    </xdr:from>
    <xdr:to>
      <xdr:col>8</xdr:col>
      <xdr:colOff>190500</xdr:colOff>
      <xdr:row>3</xdr:row>
      <xdr:rowOff>142875</xdr:rowOff>
    </xdr:to>
    <xdr:sp>
      <xdr:nvSpPr>
        <xdr:cNvPr id="3" name="AutoShape 14"/>
        <xdr:cNvSpPr>
          <a:spLocks/>
        </xdr:cNvSpPr>
      </xdr:nvSpPr>
      <xdr:spPr>
        <a:xfrm>
          <a:off x="7181850" y="9525"/>
          <a:ext cx="104775" cy="657225"/>
        </a:xfrm>
        <a:prstGeom prst="righ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104775</xdr:rowOff>
    </xdr:from>
    <xdr:to>
      <xdr:col>2</xdr:col>
      <xdr:colOff>9525</xdr:colOff>
      <xdr:row>6</xdr:row>
      <xdr:rowOff>152400</xdr:rowOff>
    </xdr:to>
    <xdr:sp>
      <xdr:nvSpPr>
        <xdr:cNvPr id="1" name="AutoShape 1"/>
        <xdr:cNvSpPr>
          <a:spLocks/>
        </xdr:cNvSpPr>
      </xdr:nvSpPr>
      <xdr:spPr>
        <a:xfrm rot="16200000">
          <a:off x="114300" y="1809750"/>
          <a:ext cx="1123950" cy="47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xdr:row>
      <xdr:rowOff>0</xdr:rowOff>
    </xdr:from>
    <xdr:to>
      <xdr:col>2</xdr:col>
      <xdr:colOff>1390650</xdr:colOff>
      <xdr:row>7</xdr:row>
      <xdr:rowOff>0</xdr:rowOff>
    </xdr:to>
    <xdr:sp>
      <xdr:nvSpPr>
        <xdr:cNvPr id="1" name="Line 1"/>
        <xdr:cNvSpPr>
          <a:spLocks/>
        </xdr:cNvSpPr>
      </xdr:nvSpPr>
      <xdr:spPr>
        <a:xfrm>
          <a:off x="85725" y="1428750"/>
          <a:ext cx="16764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xdr:row>
      <xdr:rowOff>0</xdr:rowOff>
    </xdr:from>
    <xdr:to>
      <xdr:col>3</xdr:col>
      <xdr:colOff>1400175</xdr:colOff>
      <xdr:row>7</xdr:row>
      <xdr:rowOff>0</xdr:rowOff>
    </xdr:to>
    <xdr:sp>
      <xdr:nvSpPr>
        <xdr:cNvPr id="1" name="Line 1"/>
        <xdr:cNvSpPr>
          <a:spLocks/>
        </xdr:cNvSpPr>
      </xdr:nvSpPr>
      <xdr:spPr>
        <a:xfrm>
          <a:off x="1457325" y="981075"/>
          <a:ext cx="16859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9525</xdr:colOff>
      <xdr:row>47</xdr:row>
      <xdr:rowOff>76200</xdr:rowOff>
    </xdr:from>
    <xdr:to>
      <xdr:col>0</xdr:col>
      <xdr:colOff>1314450</xdr:colOff>
      <xdr:row>48</xdr:row>
      <xdr:rowOff>28575</xdr:rowOff>
    </xdr:to>
    <xdr:sp>
      <xdr:nvSpPr>
        <xdr:cNvPr id="2" name="AutoShape 3"/>
        <xdr:cNvSpPr>
          <a:spLocks/>
        </xdr:cNvSpPr>
      </xdr:nvSpPr>
      <xdr:spPr>
        <a:xfrm rot="16200000">
          <a:off x="9525" y="6619875"/>
          <a:ext cx="1304925" cy="200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6</xdr:row>
      <xdr:rowOff>38100</xdr:rowOff>
    </xdr:from>
    <xdr:to>
      <xdr:col>8</xdr:col>
      <xdr:colOff>571500</xdr:colOff>
      <xdr:row>37</xdr:row>
      <xdr:rowOff>47625</xdr:rowOff>
    </xdr:to>
    <xdr:graphicFrame>
      <xdr:nvGraphicFramePr>
        <xdr:cNvPr id="1" name="グラフ 1"/>
        <xdr:cNvGraphicFramePr/>
      </xdr:nvGraphicFramePr>
      <xdr:xfrm>
        <a:off x="219075" y="1343025"/>
        <a:ext cx="7172325" cy="5915025"/>
      </xdr:xfrm>
      <a:graphic>
        <a:graphicData uri="http://schemas.openxmlformats.org/drawingml/2006/chart">
          <c:chart xmlns:c="http://schemas.openxmlformats.org/drawingml/2006/chart" r:id="rId1"/>
        </a:graphicData>
      </a:graphic>
    </xdr:graphicFrame>
    <xdr:clientData/>
  </xdr:twoCellAnchor>
  <xdr:twoCellAnchor>
    <xdr:from>
      <xdr:col>8</xdr:col>
      <xdr:colOff>781050</xdr:colOff>
      <xdr:row>6</xdr:row>
      <xdr:rowOff>0</xdr:rowOff>
    </xdr:from>
    <xdr:to>
      <xdr:col>17</xdr:col>
      <xdr:colOff>85725</xdr:colOff>
      <xdr:row>37</xdr:row>
      <xdr:rowOff>9525</xdr:rowOff>
    </xdr:to>
    <xdr:graphicFrame>
      <xdr:nvGraphicFramePr>
        <xdr:cNvPr id="2" name="グラフ 2"/>
        <xdr:cNvGraphicFramePr/>
      </xdr:nvGraphicFramePr>
      <xdr:xfrm>
        <a:off x="7600950" y="1304925"/>
        <a:ext cx="8286750" cy="59150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6</xdr:row>
      <xdr:rowOff>38100</xdr:rowOff>
    </xdr:from>
    <xdr:to>
      <xdr:col>8</xdr:col>
      <xdr:colOff>571500</xdr:colOff>
      <xdr:row>37</xdr:row>
      <xdr:rowOff>38100</xdr:rowOff>
    </xdr:to>
    <xdr:graphicFrame>
      <xdr:nvGraphicFramePr>
        <xdr:cNvPr id="1" name="グラフ 1"/>
        <xdr:cNvGraphicFramePr/>
      </xdr:nvGraphicFramePr>
      <xdr:xfrm>
        <a:off x="266700" y="1343025"/>
        <a:ext cx="7248525" cy="5905500"/>
      </xdr:xfrm>
      <a:graphic>
        <a:graphicData uri="http://schemas.openxmlformats.org/drawingml/2006/chart">
          <c:chart xmlns:c="http://schemas.openxmlformats.org/drawingml/2006/chart" r:id="rId1"/>
        </a:graphicData>
      </a:graphic>
    </xdr:graphicFrame>
    <xdr:clientData/>
  </xdr:twoCellAnchor>
  <xdr:twoCellAnchor>
    <xdr:from>
      <xdr:col>8</xdr:col>
      <xdr:colOff>781050</xdr:colOff>
      <xdr:row>6</xdr:row>
      <xdr:rowOff>0</xdr:rowOff>
    </xdr:from>
    <xdr:to>
      <xdr:col>17</xdr:col>
      <xdr:colOff>85725</xdr:colOff>
      <xdr:row>37</xdr:row>
      <xdr:rowOff>9525</xdr:rowOff>
    </xdr:to>
    <xdr:graphicFrame>
      <xdr:nvGraphicFramePr>
        <xdr:cNvPr id="2" name="グラフ 2"/>
        <xdr:cNvGraphicFramePr/>
      </xdr:nvGraphicFramePr>
      <xdr:xfrm>
        <a:off x="7724775" y="1304925"/>
        <a:ext cx="8086725" cy="59150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6</xdr:row>
      <xdr:rowOff>28575</xdr:rowOff>
    </xdr:from>
    <xdr:to>
      <xdr:col>8</xdr:col>
      <xdr:colOff>571500</xdr:colOff>
      <xdr:row>37</xdr:row>
      <xdr:rowOff>38100</xdr:rowOff>
    </xdr:to>
    <xdr:graphicFrame>
      <xdr:nvGraphicFramePr>
        <xdr:cNvPr id="1" name="グラフ 1"/>
        <xdr:cNvGraphicFramePr/>
      </xdr:nvGraphicFramePr>
      <xdr:xfrm>
        <a:off x="190500" y="1333500"/>
        <a:ext cx="7696200" cy="5915025"/>
      </xdr:xfrm>
      <a:graphic>
        <a:graphicData uri="http://schemas.openxmlformats.org/drawingml/2006/chart">
          <c:chart xmlns:c="http://schemas.openxmlformats.org/drawingml/2006/chart" r:id="rId1"/>
        </a:graphicData>
      </a:graphic>
    </xdr:graphicFrame>
    <xdr:clientData/>
  </xdr:twoCellAnchor>
  <xdr:twoCellAnchor>
    <xdr:from>
      <xdr:col>8</xdr:col>
      <xdr:colOff>781050</xdr:colOff>
      <xdr:row>6</xdr:row>
      <xdr:rowOff>0</xdr:rowOff>
    </xdr:from>
    <xdr:to>
      <xdr:col>17</xdr:col>
      <xdr:colOff>85725</xdr:colOff>
      <xdr:row>37</xdr:row>
      <xdr:rowOff>9525</xdr:rowOff>
    </xdr:to>
    <xdr:graphicFrame>
      <xdr:nvGraphicFramePr>
        <xdr:cNvPr id="2" name="グラフ 2"/>
        <xdr:cNvGraphicFramePr/>
      </xdr:nvGraphicFramePr>
      <xdr:xfrm>
        <a:off x="8096250" y="1304925"/>
        <a:ext cx="7439025" cy="59150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6</xdr:row>
      <xdr:rowOff>0</xdr:rowOff>
    </xdr:from>
    <xdr:to>
      <xdr:col>8</xdr:col>
      <xdr:colOff>542925</xdr:colOff>
      <xdr:row>37</xdr:row>
      <xdr:rowOff>9525</xdr:rowOff>
    </xdr:to>
    <xdr:graphicFrame>
      <xdr:nvGraphicFramePr>
        <xdr:cNvPr id="1" name="グラフ 1"/>
        <xdr:cNvGraphicFramePr/>
      </xdr:nvGraphicFramePr>
      <xdr:xfrm>
        <a:off x="219075" y="1304925"/>
        <a:ext cx="7848600" cy="5915025"/>
      </xdr:xfrm>
      <a:graphic>
        <a:graphicData uri="http://schemas.openxmlformats.org/drawingml/2006/chart">
          <c:chart xmlns:c="http://schemas.openxmlformats.org/drawingml/2006/chart" r:id="rId1"/>
        </a:graphicData>
      </a:graphic>
    </xdr:graphicFrame>
    <xdr:clientData/>
  </xdr:twoCellAnchor>
  <xdr:twoCellAnchor>
    <xdr:from>
      <xdr:col>8</xdr:col>
      <xdr:colOff>781050</xdr:colOff>
      <xdr:row>6</xdr:row>
      <xdr:rowOff>0</xdr:rowOff>
    </xdr:from>
    <xdr:to>
      <xdr:col>17</xdr:col>
      <xdr:colOff>85725</xdr:colOff>
      <xdr:row>37</xdr:row>
      <xdr:rowOff>9525</xdr:rowOff>
    </xdr:to>
    <xdr:graphicFrame>
      <xdr:nvGraphicFramePr>
        <xdr:cNvPr id="2" name="グラフ 2"/>
        <xdr:cNvGraphicFramePr/>
      </xdr:nvGraphicFramePr>
      <xdr:xfrm>
        <a:off x="8305800" y="1304925"/>
        <a:ext cx="8391525" cy="59150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171450</xdr:rowOff>
    </xdr:from>
    <xdr:to>
      <xdr:col>5</xdr:col>
      <xdr:colOff>0</xdr:colOff>
      <xdr:row>40</xdr:row>
      <xdr:rowOff>152400</xdr:rowOff>
    </xdr:to>
    <xdr:sp>
      <xdr:nvSpPr>
        <xdr:cNvPr id="1" name="Line 91"/>
        <xdr:cNvSpPr>
          <a:spLocks/>
        </xdr:cNvSpPr>
      </xdr:nvSpPr>
      <xdr:spPr>
        <a:xfrm>
          <a:off x="2752725" y="7343775"/>
          <a:ext cx="82867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19050</xdr:colOff>
      <xdr:row>49</xdr:row>
      <xdr:rowOff>0</xdr:rowOff>
    </xdr:from>
    <xdr:to>
      <xdr:col>10</xdr:col>
      <xdr:colOff>819150</xdr:colOff>
      <xdr:row>49</xdr:row>
      <xdr:rowOff>171450</xdr:rowOff>
    </xdr:to>
    <xdr:sp>
      <xdr:nvSpPr>
        <xdr:cNvPr id="2" name="Line 92"/>
        <xdr:cNvSpPr>
          <a:spLocks/>
        </xdr:cNvSpPr>
      </xdr:nvSpPr>
      <xdr:spPr>
        <a:xfrm flipH="1">
          <a:off x="8858250" y="8915400"/>
          <a:ext cx="80010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0</xdr:colOff>
      <xdr:row>3</xdr:row>
      <xdr:rowOff>9525</xdr:rowOff>
    </xdr:from>
    <xdr:to>
      <xdr:col>34</xdr:col>
      <xdr:colOff>9525</xdr:colOff>
      <xdr:row>4</xdr:row>
      <xdr:rowOff>0</xdr:rowOff>
    </xdr:to>
    <xdr:sp>
      <xdr:nvSpPr>
        <xdr:cNvPr id="3" name="Line 93"/>
        <xdr:cNvSpPr>
          <a:spLocks/>
        </xdr:cNvSpPr>
      </xdr:nvSpPr>
      <xdr:spPr>
        <a:xfrm>
          <a:off x="27260550" y="590550"/>
          <a:ext cx="100965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9525</xdr:colOff>
      <xdr:row>10</xdr:row>
      <xdr:rowOff>28575</xdr:rowOff>
    </xdr:from>
    <xdr:to>
      <xdr:col>34</xdr:col>
      <xdr:colOff>9525</xdr:colOff>
      <xdr:row>10</xdr:row>
      <xdr:rowOff>171450</xdr:rowOff>
    </xdr:to>
    <xdr:sp>
      <xdr:nvSpPr>
        <xdr:cNvPr id="4" name="Line 94"/>
        <xdr:cNvSpPr>
          <a:spLocks/>
        </xdr:cNvSpPr>
      </xdr:nvSpPr>
      <xdr:spPr>
        <a:xfrm>
          <a:off x="27270075" y="1981200"/>
          <a:ext cx="1000125"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0</xdr:colOff>
      <xdr:row>24</xdr:row>
      <xdr:rowOff>9525</xdr:rowOff>
    </xdr:from>
    <xdr:to>
      <xdr:col>33</xdr:col>
      <xdr:colOff>990600</xdr:colOff>
      <xdr:row>25</xdr:row>
      <xdr:rowOff>0</xdr:rowOff>
    </xdr:to>
    <xdr:sp>
      <xdr:nvSpPr>
        <xdr:cNvPr id="5" name="Line 96"/>
        <xdr:cNvSpPr>
          <a:spLocks/>
        </xdr:cNvSpPr>
      </xdr:nvSpPr>
      <xdr:spPr>
        <a:xfrm>
          <a:off x="27260550" y="4486275"/>
          <a:ext cx="9906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32</xdr:col>
      <xdr:colOff>352425</xdr:colOff>
      <xdr:row>17</xdr:row>
      <xdr:rowOff>9525</xdr:rowOff>
    </xdr:from>
    <xdr:to>
      <xdr:col>33</xdr:col>
      <xdr:colOff>981075</xdr:colOff>
      <xdr:row>17</xdr:row>
      <xdr:rowOff>171450</xdr:rowOff>
    </xdr:to>
    <xdr:sp>
      <xdr:nvSpPr>
        <xdr:cNvPr id="6" name="Line 104"/>
        <xdr:cNvSpPr>
          <a:spLocks/>
        </xdr:cNvSpPr>
      </xdr:nvSpPr>
      <xdr:spPr>
        <a:xfrm>
          <a:off x="27251025" y="3219450"/>
          <a:ext cx="99060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0</xdr:colOff>
      <xdr:row>31</xdr:row>
      <xdr:rowOff>9525</xdr:rowOff>
    </xdr:from>
    <xdr:to>
      <xdr:col>34</xdr:col>
      <xdr:colOff>9525</xdr:colOff>
      <xdr:row>32</xdr:row>
      <xdr:rowOff>0</xdr:rowOff>
    </xdr:to>
    <xdr:sp>
      <xdr:nvSpPr>
        <xdr:cNvPr id="7" name="Line 106"/>
        <xdr:cNvSpPr>
          <a:spLocks/>
        </xdr:cNvSpPr>
      </xdr:nvSpPr>
      <xdr:spPr>
        <a:xfrm>
          <a:off x="27260550" y="5743575"/>
          <a:ext cx="10096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266700</xdr:colOff>
      <xdr:row>62</xdr:row>
      <xdr:rowOff>95250</xdr:rowOff>
    </xdr:from>
    <xdr:to>
      <xdr:col>30</xdr:col>
      <xdr:colOff>571500</xdr:colOff>
      <xdr:row>72</xdr:row>
      <xdr:rowOff>28575</xdr:rowOff>
    </xdr:to>
    <xdr:sp>
      <xdr:nvSpPr>
        <xdr:cNvPr id="8" name="AutoShape 113"/>
        <xdr:cNvSpPr>
          <a:spLocks/>
        </xdr:cNvSpPr>
      </xdr:nvSpPr>
      <xdr:spPr>
        <a:xfrm>
          <a:off x="25450800" y="11249025"/>
          <a:ext cx="304800" cy="1647825"/>
        </a:xfrm>
        <a:prstGeom prst="downArrow">
          <a:avLst/>
        </a:prstGeom>
        <a:solidFill>
          <a:srgbClr val="DDFFDD"/>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352425</xdr:colOff>
      <xdr:row>61</xdr:row>
      <xdr:rowOff>76200</xdr:rowOff>
    </xdr:from>
    <xdr:to>
      <xdr:col>31</xdr:col>
      <xdr:colOff>847725</xdr:colOff>
      <xdr:row>62</xdr:row>
      <xdr:rowOff>47625</xdr:rowOff>
    </xdr:to>
    <xdr:sp>
      <xdr:nvSpPr>
        <xdr:cNvPr id="9" name="AutoShape 114"/>
        <xdr:cNvSpPr>
          <a:spLocks/>
        </xdr:cNvSpPr>
      </xdr:nvSpPr>
      <xdr:spPr>
        <a:xfrm rot="5400000">
          <a:off x="24307800" y="11058525"/>
          <a:ext cx="2581275" cy="142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304800</xdr:colOff>
      <xdr:row>37</xdr:row>
      <xdr:rowOff>66675</xdr:rowOff>
    </xdr:from>
    <xdr:to>
      <xdr:col>6</xdr:col>
      <xdr:colOff>304800</xdr:colOff>
      <xdr:row>39</xdr:row>
      <xdr:rowOff>85725</xdr:rowOff>
    </xdr:to>
    <xdr:sp>
      <xdr:nvSpPr>
        <xdr:cNvPr id="10" name="Line 115"/>
        <xdr:cNvSpPr>
          <a:spLocks/>
        </xdr:cNvSpPr>
      </xdr:nvSpPr>
      <xdr:spPr>
        <a:xfrm>
          <a:off x="5419725" y="6858000"/>
          <a:ext cx="0" cy="400050"/>
        </a:xfrm>
        <a:prstGeom prst="line">
          <a:avLst/>
        </a:prstGeom>
        <a:noFill/>
        <a:ln w="57150" cmpd="sng">
          <a:solidFill>
            <a:srgbClr val="0000FF"/>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304800</xdr:colOff>
      <xdr:row>37</xdr:row>
      <xdr:rowOff>57150</xdr:rowOff>
    </xdr:from>
    <xdr:to>
      <xdr:col>9</xdr:col>
      <xdr:colOff>304800</xdr:colOff>
      <xdr:row>39</xdr:row>
      <xdr:rowOff>76200</xdr:rowOff>
    </xdr:to>
    <xdr:sp>
      <xdr:nvSpPr>
        <xdr:cNvPr id="11" name="Line 116"/>
        <xdr:cNvSpPr>
          <a:spLocks/>
        </xdr:cNvSpPr>
      </xdr:nvSpPr>
      <xdr:spPr>
        <a:xfrm>
          <a:off x="8486775" y="6848475"/>
          <a:ext cx="0" cy="400050"/>
        </a:xfrm>
        <a:prstGeom prst="line">
          <a:avLst/>
        </a:prstGeom>
        <a:noFill/>
        <a:ln w="57150" cmpd="sng">
          <a:solidFill>
            <a:srgbClr val="0000FF"/>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33"/>
  </sheetPr>
  <dimension ref="B1:M112"/>
  <sheetViews>
    <sheetView showGridLines="0" zoomScalePageLayoutView="0" workbookViewId="0" topLeftCell="B1">
      <selection activeCell="O83" sqref="O83"/>
    </sheetView>
  </sheetViews>
  <sheetFormatPr defaultColWidth="9" defaultRowHeight="15"/>
  <cols>
    <col min="1" max="1" width="5" style="18" customWidth="1"/>
    <col min="2" max="2" width="4.19921875" style="18" customWidth="1"/>
    <col min="3" max="3" width="7" style="18" customWidth="1"/>
    <col min="4" max="4" width="10.19921875" style="18" customWidth="1"/>
    <col min="5" max="5" width="10" style="18" customWidth="1"/>
    <col min="6" max="16384" width="9" style="18" customWidth="1"/>
  </cols>
  <sheetData>
    <row r="1" spans="2:4" ht="13.5">
      <c r="B1" s="16" t="s">
        <v>115</v>
      </c>
      <c r="C1" s="16" t="s">
        <v>72</v>
      </c>
      <c r="D1" s="17"/>
    </row>
    <row r="2" ht="13.5">
      <c r="C2" s="18" t="s">
        <v>214</v>
      </c>
    </row>
    <row r="4" spans="2:4" ht="13.5">
      <c r="B4" s="16" t="s">
        <v>116</v>
      </c>
      <c r="C4" s="16" t="s">
        <v>73</v>
      </c>
      <c r="D4" s="17"/>
    </row>
    <row r="5" spans="3:4" ht="13.5">
      <c r="C5" s="17" t="s">
        <v>74</v>
      </c>
      <c r="D5" s="17" t="s">
        <v>75</v>
      </c>
    </row>
    <row r="6" ht="14.25" thickBot="1">
      <c r="D6" s="18" t="s">
        <v>215</v>
      </c>
    </row>
    <row r="7" spans="4:10" ht="27.75" customHeight="1">
      <c r="D7" s="19"/>
      <c r="E7" s="20"/>
      <c r="F7" s="20"/>
      <c r="G7" s="20"/>
      <c r="H7" s="20"/>
      <c r="I7" s="20"/>
      <c r="J7" s="21"/>
    </row>
    <row r="8" spans="4:10" ht="13.5">
      <c r="D8" s="22"/>
      <c r="E8" s="23" t="s">
        <v>119</v>
      </c>
      <c r="F8" s="24"/>
      <c r="G8" s="24"/>
      <c r="H8" s="24"/>
      <c r="I8" s="24"/>
      <c r="J8" s="25"/>
    </row>
    <row r="9" spans="4:10" ht="13.5">
      <c r="D9" s="22"/>
      <c r="E9" s="26"/>
      <c r="F9" s="23" t="s">
        <v>119</v>
      </c>
      <c r="G9" s="24"/>
      <c r="H9" s="24"/>
      <c r="I9" s="24"/>
      <c r="J9" s="25"/>
    </row>
    <row r="10" spans="4:10" ht="13.5">
      <c r="D10" s="22"/>
      <c r="E10" s="26"/>
      <c r="F10" s="26"/>
      <c r="G10" s="23" t="s">
        <v>119</v>
      </c>
      <c r="H10" s="24"/>
      <c r="I10" s="24"/>
      <c r="J10" s="25"/>
    </row>
    <row r="11" spans="4:10" ht="13.5">
      <c r="D11" s="22"/>
      <c r="E11" s="26"/>
      <c r="F11" s="26"/>
      <c r="G11" s="26"/>
      <c r="H11" s="23" t="s">
        <v>119</v>
      </c>
      <c r="I11" s="24"/>
      <c r="J11" s="25"/>
    </row>
    <row r="12" spans="4:10" ht="13.5">
      <c r="D12" s="22"/>
      <c r="E12" s="26"/>
      <c r="F12" s="26"/>
      <c r="G12" s="26"/>
      <c r="H12" s="26"/>
      <c r="I12" s="23" t="s">
        <v>119</v>
      </c>
      <c r="J12" s="25"/>
    </row>
    <row r="13" spans="4:10" ht="14.25" thickBot="1">
      <c r="D13" s="27"/>
      <c r="E13" s="28"/>
      <c r="F13" s="28"/>
      <c r="G13" s="28"/>
      <c r="H13" s="28"/>
      <c r="I13" s="28"/>
      <c r="J13" s="29" t="s">
        <v>119</v>
      </c>
    </row>
    <row r="15" spans="3:4" ht="13.5">
      <c r="C15" s="17" t="s">
        <v>76</v>
      </c>
      <c r="D15" s="17" t="s">
        <v>77</v>
      </c>
    </row>
    <row r="16" ht="13.5">
      <c r="D16" s="18" t="s">
        <v>216</v>
      </c>
    </row>
    <row r="17" ht="13.5">
      <c r="D17" s="18" t="s">
        <v>78</v>
      </c>
    </row>
    <row r="18" ht="13.5">
      <c r="D18" s="18" t="s">
        <v>217</v>
      </c>
    </row>
    <row r="19" ht="13.5">
      <c r="D19" s="18" t="s">
        <v>79</v>
      </c>
    </row>
    <row r="20" ht="13.5">
      <c r="D20" s="18" t="s">
        <v>218</v>
      </c>
    </row>
    <row r="21" spans="5:6" ht="13.5">
      <c r="E21" s="30"/>
      <c r="F21" s="18" t="s">
        <v>219</v>
      </c>
    </row>
    <row r="22" spans="5:6" ht="13.5">
      <c r="E22" s="31"/>
      <c r="F22" s="18" t="s">
        <v>220</v>
      </c>
    </row>
    <row r="23" ht="13.5">
      <c r="D23" s="18" t="s">
        <v>221</v>
      </c>
    </row>
    <row r="24" ht="13.5">
      <c r="D24" s="17" t="s">
        <v>137</v>
      </c>
    </row>
    <row r="25" ht="13.5">
      <c r="D25" s="18" t="s">
        <v>124</v>
      </c>
    </row>
    <row r="26" spans="5:6" ht="13.5">
      <c r="E26" s="30"/>
      <c r="F26" s="18" t="s">
        <v>222</v>
      </c>
    </row>
    <row r="27" spans="4:6" ht="13.5">
      <c r="D27" s="18" t="s">
        <v>122</v>
      </c>
      <c r="E27" s="31"/>
      <c r="F27" s="18" t="s">
        <v>223</v>
      </c>
    </row>
    <row r="28" ht="13.5">
      <c r="D28" s="18" t="s">
        <v>123</v>
      </c>
    </row>
    <row r="29" ht="13.5">
      <c r="D29" s="18" t="s">
        <v>224</v>
      </c>
    </row>
    <row r="31" spans="3:4" ht="13.5">
      <c r="C31" s="17" t="s">
        <v>95</v>
      </c>
      <c r="D31" s="17" t="s">
        <v>125</v>
      </c>
    </row>
    <row r="32" ht="13.5">
      <c r="D32" s="18" t="s">
        <v>80</v>
      </c>
    </row>
    <row r="33" ht="13.5">
      <c r="D33" s="18" t="s">
        <v>121</v>
      </c>
    </row>
    <row r="34" ht="13.5">
      <c r="D34" s="18" t="s">
        <v>126</v>
      </c>
    </row>
    <row r="35" ht="13.5">
      <c r="D35" s="18" t="s">
        <v>225</v>
      </c>
    </row>
    <row r="36" ht="13.5">
      <c r="D36" s="18" t="s">
        <v>81</v>
      </c>
    </row>
    <row r="37" spans="4:13" ht="13.5">
      <c r="D37" s="18" t="s">
        <v>82</v>
      </c>
      <c r="L37" s="30"/>
      <c r="M37" s="18" t="s">
        <v>83</v>
      </c>
    </row>
    <row r="38" spans="4:9" ht="13.5">
      <c r="D38" s="18" t="s">
        <v>84</v>
      </c>
      <c r="H38" s="32"/>
      <c r="I38" s="18" t="s">
        <v>226</v>
      </c>
    </row>
    <row r="39" ht="13.5">
      <c r="D39" s="18" t="s">
        <v>85</v>
      </c>
    </row>
    <row r="40" ht="13.5">
      <c r="D40" s="18" t="s">
        <v>227</v>
      </c>
    </row>
    <row r="42" spans="2:5" ht="13.5">
      <c r="B42" s="16" t="s">
        <v>117</v>
      </c>
      <c r="C42" s="16" t="s">
        <v>127</v>
      </c>
      <c r="D42" s="17"/>
      <c r="E42" s="17"/>
    </row>
    <row r="43" spans="3:4" ht="13.5">
      <c r="C43" s="17" t="s">
        <v>74</v>
      </c>
      <c r="D43" s="17" t="s">
        <v>92</v>
      </c>
    </row>
    <row r="44" ht="13.5">
      <c r="D44" s="18" t="s">
        <v>120</v>
      </c>
    </row>
    <row r="45" ht="13.5">
      <c r="D45" s="18" t="s">
        <v>93</v>
      </c>
    </row>
    <row r="47" spans="3:4" ht="13.5">
      <c r="C47" s="17" t="s">
        <v>76</v>
      </c>
      <c r="D47" s="17" t="s">
        <v>94</v>
      </c>
    </row>
    <row r="48" ht="13.5">
      <c r="D48" s="18" t="s">
        <v>228</v>
      </c>
    </row>
    <row r="49" ht="13.5">
      <c r="D49" s="18" t="s">
        <v>229</v>
      </c>
    </row>
    <row r="51" spans="3:4" ht="13.5">
      <c r="C51" s="17" t="s">
        <v>95</v>
      </c>
      <c r="D51" s="17" t="s">
        <v>96</v>
      </c>
    </row>
    <row r="52" ht="13.5">
      <c r="D52" s="18" t="s">
        <v>230</v>
      </c>
    </row>
    <row r="54" spans="3:4" ht="13.5">
      <c r="C54" s="17" t="s">
        <v>97</v>
      </c>
      <c r="D54" s="17" t="s">
        <v>86</v>
      </c>
    </row>
    <row r="55" ht="13.5">
      <c r="D55" s="18" t="s">
        <v>231</v>
      </c>
    </row>
    <row r="56" spans="4:6" ht="13.5">
      <c r="D56" s="18" t="s">
        <v>243</v>
      </c>
      <c r="E56" s="18" t="s">
        <v>69</v>
      </c>
      <c r="F56" s="18" t="s">
        <v>244</v>
      </c>
    </row>
    <row r="57" spans="4:6" ht="13.5">
      <c r="D57" s="18" t="s">
        <v>245</v>
      </c>
      <c r="F57" s="18" t="s">
        <v>98</v>
      </c>
    </row>
    <row r="58" spans="4:6" ht="13.5">
      <c r="D58" s="18" t="s">
        <v>88</v>
      </c>
      <c r="E58" s="18" t="s">
        <v>69</v>
      </c>
      <c r="F58" s="18" t="s">
        <v>118</v>
      </c>
    </row>
    <row r="59" spans="4:6" ht="13.5">
      <c r="D59" s="18" t="s">
        <v>90</v>
      </c>
      <c r="E59" s="18" t="s">
        <v>69</v>
      </c>
      <c r="F59" s="18" t="s">
        <v>102</v>
      </c>
    </row>
    <row r="60" spans="4:6" ht="13.5">
      <c r="D60" s="18" t="s">
        <v>87</v>
      </c>
      <c r="E60" s="18" t="s">
        <v>69</v>
      </c>
      <c r="F60" s="18" t="s">
        <v>99</v>
      </c>
    </row>
    <row r="61" spans="4:6" ht="13.5">
      <c r="D61" s="18" t="s">
        <v>260</v>
      </c>
      <c r="E61" s="18" t="s">
        <v>69</v>
      </c>
      <c r="F61" s="18" t="s">
        <v>261</v>
      </c>
    </row>
    <row r="62" spans="4:6" ht="13.5">
      <c r="D62" s="18" t="s">
        <v>246</v>
      </c>
      <c r="E62" s="18" t="s">
        <v>69</v>
      </c>
      <c r="F62" s="18" t="s">
        <v>247</v>
      </c>
    </row>
    <row r="63" spans="4:6" ht="13.5">
      <c r="D63" s="18" t="s">
        <v>239</v>
      </c>
      <c r="E63" s="18" t="s">
        <v>69</v>
      </c>
      <c r="F63" s="18" t="s">
        <v>240</v>
      </c>
    </row>
    <row r="64" spans="4:6" ht="13.5">
      <c r="D64" s="18" t="s">
        <v>253</v>
      </c>
      <c r="E64" s="18" t="s">
        <v>69</v>
      </c>
      <c r="F64" s="18" t="s">
        <v>254</v>
      </c>
    </row>
    <row r="65" spans="4:6" ht="13.5">
      <c r="D65" s="18" t="s">
        <v>91</v>
      </c>
      <c r="E65" s="18" t="s">
        <v>69</v>
      </c>
      <c r="F65" s="18" t="s">
        <v>100</v>
      </c>
    </row>
    <row r="66" spans="4:6" ht="13.5">
      <c r="D66" s="18" t="s">
        <v>89</v>
      </c>
      <c r="E66" s="18" t="s">
        <v>69</v>
      </c>
      <c r="F66" s="18" t="s">
        <v>101</v>
      </c>
    </row>
    <row r="68" spans="3:4" ht="13.5">
      <c r="C68" s="17" t="s">
        <v>149</v>
      </c>
      <c r="D68" s="17" t="s">
        <v>150</v>
      </c>
    </row>
    <row r="69" ht="13.5">
      <c r="D69" s="18" t="s">
        <v>151</v>
      </c>
    </row>
    <row r="70" ht="13.5">
      <c r="D70" s="18" t="s">
        <v>152</v>
      </c>
    </row>
    <row r="72" spans="2:3" ht="14.25" thickBot="1">
      <c r="B72" s="16" t="s">
        <v>165</v>
      </c>
      <c r="C72" s="16" t="s">
        <v>166</v>
      </c>
    </row>
    <row r="73" spans="4:12" ht="14.25" thickBot="1">
      <c r="D73" s="447" t="s">
        <v>108</v>
      </c>
      <c r="E73" s="448"/>
      <c r="F73" s="422" t="s">
        <v>168</v>
      </c>
      <c r="G73" s="425"/>
      <c r="H73" s="422" t="s">
        <v>167</v>
      </c>
      <c r="I73" s="423"/>
      <c r="J73" s="423"/>
      <c r="K73" s="423"/>
      <c r="L73" s="424"/>
    </row>
    <row r="74" spans="4:12" ht="13.5">
      <c r="D74" s="449" t="s">
        <v>169</v>
      </c>
      <c r="E74" s="450"/>
      <c r="F74" s="443" t="s">
        <v>179</v>
      </c>
      <c r="G74" s="444"/>
      <c r="H74" s="431" t="s">
        <v>185</v>
      </c>
      <c r="I74" s="432"/>
      <c r="J74" s="432"/>
      <c r="K74" s="432"/>
      <c r="L74" s="433"/>
    </row>
    <row r="75" spans="4:12" ht="13.5">
      <c r="D75" s="415" t="s">
        <v>170</v>
      </c>
      <c r="E75" s="416"/>
      <c r="F75" s="417" t="s">
        <v>181</v>
      </c>
      <c r="G75" s="418"/>
      <c r="H75" s="412" t="s">
        <v>186</v>
      </c>
      <c r="I75" s="413"/>
      <c r="J75" s="413"/>
      <c r="K75" s="413"/>
      <c r="L75" s="414"/>
    </row>
    <row r="76" spans="4:12" ht="13.5">
      <c r="D76" s="445" t="s">
        <v>255</v>
      </c>
      <c r="E76" s="446"/>
      <c r="F76" s="417" t="s">
        <v>181</v>
      </c>
      <c r="G76" s="418"/>
      <c r="H76" s="412" t="s">
        <v>256</v>
      </c>
      <c r="I76" s="413"/>
      <c r="J76" s="413"/>
      <c r="K76" s="413"/>
      <c r="L76" s="414"/>
    </row>
    <row r="77" spans="4:12" ht="13.5">
      <c r="D77" s="415" t="s">
        <v>110</v>
      </c>
      <c r="E77" s="416"/>
      <c r="F77" s="417" t="s">
        <v>181</v>
      </c>
      <c r="G77" s="418"/>
      <c r="H77" s="412" t="s">
        <v>187</v>
      </c>
      <c r="I77" s="413"/>
      <c r="J77" s="413"/>
      <c r="K77" s="413"/>
      <c r="L77" s="414"/>
    </row>
    <row r="78" spans="4:12" ht="13.5">
      <c r="D78" s="415" t="s">
        <v>171</v>
      </c>
      <c r="E78" s="416"/>
      <c r="F78" s="417" t="s">
        <v>181</v>
      </c>
      <c r="G78" s="418"/>
      <c r="H78" s="412" t="s">
        <v>188</v>
      </c>
      <c r="I78" s="413"/>
      <c r="J78" s="413"/>
      <c r="K78" s="413"/>
      <c r="L78" s="414"/>
    </row>
    <row r="79" spans="4:12" ht="13.5">
      <c r="D79" s="415" t="s">
        <v>172</v>
      </c>
      <c r="E79" s="416"/>
      <c r="F79" s="417" t="s">
        <v>181</v>
      </c>
      <c r="G79" s="418"/>
      <c r="H79" s="412" t="s">
        <v>189</v>
      </c>
      <c r="I79" s="413"/>
      <c r="J79" s="413"/>
      <c r="K79" s="413"/>
      <c r="L79" s="414"/>
    </row>
    <row r="80" spans="4:12" ht="13.5">
      <c r="D80" s="415" t="s">
        <v>173</v>
      </c>
      <c r="E80" s="416"/>
      <c r="F80" s="417" t="s">
        <v>181</v>
      </c>
      <c r="G80" s="418"/>
      <c r="H80" s="412" t="s">
        <v>190</v>
      </c>
      <c r="I80" s="413"/>
      <c r="J80" s="413"/>
      <c r="K80" s="413"/>
      <c r="L80" s="414"/>
    </row>
    <row r="81" spans="4:12" ht="13.5">
      <c r="D81" s="415" t="s">
        <v>174</v>
      </c>
      <c r="E81" s="416"/>
      <c r="F81" s="417" t="s">
        <v>181</v>
      </c>
      <c r="G81" s="418"/>
      <c r="H81" s="412" t="s">
        <v>191</v>
      </c>
      <c r="I81" s="413"/>
      <c r="J81" s="413"/>
      <c r="K81" s="413"/>
      <c r="L81" s="414"/>
    </row>
    <row r="82" spans="4:12" ht="13.5">
      <c r="D82" s="415" t="s">
        <v>175</v>
      </c>
      <c r="E82" s="416"/>
      <c r="F82" s="417" t="s">
        <v>181</v>
      </c>
      <c r="G82" s="418"/>
      <c r="H82" s="412" t="s">
        <v>192</v>
      </c>
      <c r="I82" s="413"/>
      <c r="J82" s="413"/>
      <c r="K82" s="413"/>
      <c r="L82" s="414"/>
    </row>
    <row r="83" spans="4:12" ht="13.5">
      <c r="D83" s="415" t="s">
        <v>176</v>
      </c>
      <c r="E83" s="416"/>
      <c r="F83" s="417" t="s">
        <v>181</v>
      </c>
      <c r="G83" s="418"/>
      <c r="H83" s="412" t="s">
        <v>193</v>
      </c>
      <c r="I83" s="413"/>
      <c r="J83" s="413"/>
      <c r="K83" s="413"/>
      <c r="L83" s="414"/>
    </row>
    <row r="84" spans="4:12" ht="13.5">
      <c r="D84" s="415" t="s">
        <v>177</v>
      </c>
      <c r="E84" s="416"/>
      <c r="F84" s="417" t="s">
        <v>181</v>
      </c>
      <c r="G84" s="418"/>
      <c r="H84" s="412" t="s">
        <v>194</v>
      </c>
      <c r="I84" s="413"/>
      <c r="J84" s="413"/>
      <c r="K84" s="413"/>
      <c r="L84" s="414"/>
    </row>
    <row r="85" spans="4:12" ht="13.5">
      <c r="D85" s="441" t="s">
        <v>111</v>
      </c>
      <c r="E85" s="442"/>
      <c r="F85" s="436" t="s">
        <v>180</v>
      </c>
      <c r="G85" s="437"/>
      <c r="H85" s="426" t="s">
        <v>196</v>
      </c>
      <c r="I85" s="427"/>
      <c r="J85" s="427"/>
      <c r="K85" s="427"/>
      <c r="L85" s="428"/>
    </row>
    <row r="86" spans="4:12" ht="14.25" thickBot="1">
      <c r="D86" s="434" t="s">
        <v>178</v>
      </c>
      <c r="E86" s="435"/>
      <c r="F86" s="429" t="s">
        <v>179</v>
      </c>
      <c r="G86" s="430"/>
      <c r="H86" s="419" t="s">
        <v>195</v>
      </c>
      <c r="I86" s="420"/>
      <c r="J86" s="420"/>
      <c r="K86" s="420"/>
      <c r="L86" s="421"/>
    </row>
    <row r="88" spans="2:3" ht="13.5">
      <c r="B88" s="16" t="s">
        <v>163</v>
      </c>
      <c r="C88" s="16" t="s">
        <v>107</v>
      </c>
    </row>
    <row r="89" ht="13.5">
      <c r="C89" s="18" t="s">
        <v>232</v>
      </c>
    </row>
    <row r="90" spans="4:7" ht="13.5">
      <c r="D90" s="23" t="s">
        <v>108</v>
      </c>
      <c r="E90" s="438" t="s">
        <v>109</v>
      </c>
      <c r="F90" s="439"/>
      <c r="G90" s="440"/>
    </row>
    <row r="91" spans="4:7" ht="13.5">
      <c r="D91" s="33" t="s">
        <v>111</v>
      </c>
      <c r="E91" s="416" t="s">
        <v>112</v>
      </c>
      <c r="F91" s="416"/>
      <c r="G91" s="416"/>
    </row>
    <row r="92" spans="4:7" ht="13.5">
      <c r="D92" s="34"/>
      <c r="E92" s="34"/>
      <c r="F92" s="34"/>
      <c r="G92" s="34"/>
    </row>
    <row r="93" spans="2:3" ht="13.5">
      <c r="B93" s="16" t="s">
        <v>164</v>
      </c>
      <c r="C93" s="16" t="s">
        <v>103</v>
      </c>
    </row>
    <row r="94" ht="13.5">
      <c r="C94" s="18" t="s">
        <v>233</v>
      </c>
    </row>
    <row r="95" ht="13.5">
      <c r="D95" s="18" t="s">
        <v>104</v>
      </c>
    </row>
    <row r="96" spans="4:6" ht="13.5">
      <c r="D96" s="18" t="s">
        <v>105</v>
      </c>
      <c r="F96" s="18" t="s">
        <v>234</v>
      </c>
    </row>
    <row r="97" spans="4:7" ht="13.5">
      <c r="D97" s="18" t="s">
        <v>106</v>
      </c>
      <c r="G97" s="18" t="s">
        <v>235</v>
      </c>
    </row>
    <row r="98" ht="13.5">
      <c r="D98" s="18" t="s">
        <v>113</v>
      </c>
    </row>
    <row r="99" ht="13.5">
      <c r="D99" s="18" t="s">
        <v>182</v>
      </c>
    </row>
    <row r="100" spans="4:12" ht="13.5">
      <c r="D100" s="18" t="s">
        <v>183</v>
      </c>
      <c r="L100" s="18" t="s">
        <v>242</v>
      </c>
    </row>
    <row r="101" ht="13.5">
      <c r="D101" s="18" t="s">
        <v>236</v>
      </c>
    </row>
    <row r="102" spans="5:8" ht="13.5">
      <c r="E102" s="23" t="s">
        <v>108</v>
      </c>
      <c r="F102" s="438" t="s">
        <v>114</v>
      </c>
      <c r="G102" s="439"/>
      <c r="H102" s="440"/>
    </row>
    <row r="103" spans="5:11" ht="13.5">
      <c r="E103" s="90" t="s">
        <v>138</v>
      </c>
      <c r="F103" s="416" t="s">
        <v>65</v>
      </c>
      <c r="G103" s="416"/>
      <c r="H103" s="416"/>
      <c r="K103" s="18" t="s">
        <v>242</v>
      </c>
    </row>
    <row r="104" spans="5:8" ht="13.5">
      <c r="E104" s="416" t="s">
        <v>111</v>
      </c>
      <c r="F104" s="416" t="s">
        <v>7</v>
      </c>
      <c r="G104" s="416"/>
      <c r="H104" s="416"/>
    </row>
    <row r="105" spans="5:8" ht="13.5">
      <c r="E105" s="416"/>
      <c r="F105" s="416" t="s">
        <v>49</v>
      </c>
      <c r="G105" s="416"/>
      <c r="H105" s="416"/>
    </row>
    <row r="106" spans="5:8" ht="13.5">
      <c r="E106" s="33" t="s">
        <v>161</v>
      </c>
      <c r="F106" s="52" t="s">
        <v>162</v>
      </c>
      <c r="G106" s="53"/>
      <c r="H106" s="54"/>
    </row>
    <row r="107" spans="4:7" ht="13.5">
      <c r="D107" s="34" t="s">
        <v>237</v>
      </c>
      <c r="E107" s="34"/>
      <c r="F107" s="34"/>
      <c r="G107" s="34"/>
    </row>
    <row r="108" spans="4:7" ht="13.5">
      <c r="D108" s="34" t="s">
        <v>184</v>
      </c>
      <c r="E108" s="34"/>
      <c r="F108" s="34"/>
      <c r="G108" s="34"/>
    </row>
    <row r="109" spans="4:7" ht="13.5">
      <c r="D109" s="34" t="s">
        <v>238</v>
      </c>
      <c r="E109" s="34"/>
      <c r="F109" s="34"/>
      <c r="G109" s="34"/>
    </row>
    <row r="110" spans="4:7" ht="13.5">
      <c r="D110" s="34"/>
      <c r="E110" s="34"/>
      <c r="F110" s="34"/>
      <c r="G110" s="34"/>
    </row>
    <row r="111" spans="4:7" ht="13.5">
      <c r="D111" s="34"/>
      <c r="E111" s="34"/>
      <c r="F111" s="34"/>
      <c r="G111" s="34"/>
    </row>
    <row r="112" spans="4:7" ht="13.5">
      <c r="D112" s="34"/>
      <c r="E112" s="34"/>
      <c r="F112" s="34"/>
      <c r="G112" s="34"/>
    </row>
  </sheetData>
  <sheetProtection password="B197" sheet="1" objects="1" scenarios="1"/>
  <mergeCells count="49">
    <mergeCell ref="E104:E105"/>
    <mergeCell ref="F105:H105"/>
    <mergeCell ref="F102:H102"/>
    <mergeCell ref="F103:H103"/>
    <mergeCell ref="F104:H104"/>
    <mergeCell ref="D73:E73"/>
    <mergeCell ref="D74:E74"/>
    <mergeCell ref="D75:E75"/>
    <mergeCell ref="D78:E78"/>
    <mergeCell ref="D79:E79"/>
    <mergeCell ref="D80:E80"/>
    <mergeCell ref="E90:G90"/>
    <mergeCell ref="F83:G83"/>
    <mergeCell ref="D84:E84"/>
    <mergeCell ref="D85:E85"/>
    <mergeCell ref="F74:G74"/>
    <mergeCell ref="F75:G75"/>
    <mergeCell ref="F77:G77"/>
    <mergeCell ref="D76:E76"/>
    <mergeCell ref="D77:E77"/>
    <mergeCell ref="H80:L80"/>
    <mergeCell ref="H76:L76"/>
    <mergeCell ref="H81:L81"/>
    <mergeCell ref="H82:L82"/>
    <mergeCell ref="F76:G76"/>
    <mergeCell ref="F79:G79"/>
    <mergeCell ref="F80:G80"/>
    <mergeCell ref="F81:G81"/>
    <mergeCell ref="H77:L77"/>
    <mergeCell ref="H74:L74"/>
    <mergeCell ref="E91:G91"/>
    <mergeCell ref="H83:L83"/>
    <mergeCell ref="D82:E82"/>
    <mergeCell ref="D83:E83"/>
    <mergeCell ref="D86:E86"/>
    <mergeCell ref="F84:G84"/>
    <mergeCell ref="F85:G85"/>
    <mergeCell ref="F82:G82"/>
    <mergeCell ref="H79:L79"/>
    <mergeCell ref="H75:L75"/>
    <mergeCell ref="D81:E81"/>
    <mergeCell ref="H78:L78"/>
    <mergeCell ref="F78:G78"/>
    <mergeCell ref="H86:L86"/>
    <mergeCell ref="H73:L73"/>
    <mergeCell ref="F73:G73"/>
    <mergeCell ref="H84:L84"/>
    <mergeCell ref="H85:L85"/>
    <mergeCell ref="F86:G86"/>
  </mergeCells>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0"/>
  </sheetPr>
  <dimension ref="A1:AN84"/>
  <sheetViews>
    <sheetView showGridLines="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K15" sqref="K15"/>
    </sheetView>
  </sheetViews>
  <sheetFormatPr defaultColWidth="9" defaultRowHeight="15"/>
  <cols>
    <col min="1" max="1" width="2.69921875" style="18" customWidth="1"/>
    <col min="2" max="2" width="9.5" style="2" bestFit="1" customWidth="1"/>
    <col min="3" max="3" width="7.69921875" style="3" customWidth="1"/>
    <col min="4" max="4" width="9" style="2" customWidth="1"/>
    <col min="5" max="5" width="8.69921875" style="3" customWidth="1"/>
    <col min="6" max="6" width="16.09765625" style="2" customWidth="1"/>
    <col min="7" max="7" width="6.8984375" style="3" customWidth="1"/>
    <col min="8" max="8" width="8.3984375" style="3" customWidth="1"/>
    <col min="9" max="9" width="16.8984375" style="2" customWidth="1"/>
    <col min="10" max="10" width="6.8984375" style="3" customWidth="1"/>
    <col min="11" max="11" width="8.796875" style="3" customWidth="1"/>
    <col min="12" max="12" width="9.796875" style="3" customWidth="1"/>
    <col min="13" max="13" width="8" style="3" customWidth="1"/>
    <col min="14" max="14" width="9.8984375" style="3" customWidth="1"/>
    <col min="15" max="15" width="5.59765625" style="3" customWidth="1"/>
    <col min="16" max="18" width="9" style="3" customWidth="1"/>
    <col min="19" max="19" width="11.59765625" style="3" customWidth="1"/>
    <col min="20" max="20" width="10.3984375" style="3" customWidth="1"/>
    <col min="21" max="21" width="4.5" style="156" customWidth="1"/>
    <col min="22" max="22" width="9.3984375" style="2" customWidth="1"/>
    <col min="23" max="23" width="9.09765625" style="2" customWidth="1"/>
    <col min="24" max="24" width="4.5" style="2" customWidth="1"/>
    <col min="25" max="25" width="5.8984375" style="2" customWidth="1"/>
    <col min="26" max="26" width="14.09765625" style="2" customWidth="1"/>
    <col min="27" max="27" width="9.5" style="2" customWidth="1"/>
    <col min="28" max="28" width="10.59765625" style="2" customWidth="1"/>
    <col min="29" max="29" width="3.8984375" style="2" customWidth="1"/>
    <col min="30" max="30" width="9" style="3" customWidth="1"/>
    <col min="31" max="32" width="9" style="2" customWidth="1"/>
    <col min="33" max="33" width="3.796875" style="2" customWidth="1"/>
    <col min="34" max="34" width="10.5" style="2" customWidth="1"/>
    <col min="35" max="38" width="6.69921875" style="2" customWidth="1"/>
    <col min="39" max="16384" width="9" style="2" customWidth="1"/>
  </cols>
  <sheetData>
    <row r="1" spans="1:39" ht="15">
      <c r="A1" s="470" t="s">
        <v>374</v>
      </c>
      <c r="B1" s="470"/>
      <c r="C1" s="470"/>
      <c r="D1" s="470"/>
      <c r="E1" s="470"/>
      <c r="F1" s="470"/>
      <c r="G1" s="470"/>
      <c r="H1" s="470"/>
      <c r="I1" s="470"/>
      <c r="J1" s="470"/>
      <c r="K1" s="470"/>
      <c r="L1" s="470"/>
      <c r="M1" s="470"/>
      <c r="N1" s="547" t="s">
        <v>134</v>
      </c>
      <c r="O1" s="547"/>
      <c r="P1" s="547"/>
      <c r="Q1" s="547"/>
      <c r="R1" s="547"/>
      <c r="S1" s="547"/>
      <c r="T1" s="547"/>
      <c r="U1" s="547"/>
      <c r="V1" s="547"/>
      <c r="W1" s="547"/>
      <c r="X1" s="39"/>
      <c r="Y1" s="549" t="s">
        <v>427</v>
      </c>
      <c r="Z1" s="549"/>
      <c r="AA1" s="549"/>
      <c r="AB1" s="549"/>
      <c r="AC1" s="549"/>
      <c r="AD1" s="549"/>
      <c r="AE1" s="549"/>
      <c r="AF1" s="39"/>
      <c r="AG1" s="548" t="s">
        <v>351</v>
      </c>
      <c r="AH1" s="548"/>
      <c r="AI1" s="548"/>
      <c r="AJ1" s="548"/>
      <c r="AK1" s="548"/>
      <c r="AL1" s="548"/>
      <c r="AM1" s="39"/>
    </row>
    <row r="2" spans="22:38" ht="15">
      <c r="V2" s="3"/>
      <c r="W2" s="3"/>
      <c r="Y2" s="38"/>
      <c r="Z2" s="38"/>
      <c r="AA2" s="38"/>
      <c r="AB2" s="14"/>
      <c r="AC2" s="14"/>
      <c r="AD2" s="38"/>
      <c r="AE2" s="38"/>
      <c r="AF2" s="38"/>
      <c r="AH2" s="558"/>
      <c r="AI2" s="558"/>
      <c r="AJ2" s="558"/>
      <c r="AK2" s="558"/>
      <c r="AL2" s="558"/>
    </row>
    <row r="3" spans="1:38" s="3" customFormat="1" ht="15.75" thickBot="1">
      <c r="A3" s="156"/>
      <c r="B3" s="543" t="s">
        <v>13</v>
      </c>
      <c r="C3" s="543"/>
      <c r="D3" s="543" t="s">
        <v>11</v>
      </c>
      <c r="E3" s="543"/>
      <c r="F3" s="543" t="s">
        <v>12</v>
      </c>
      <c r="G3" s="543"/>
      <c r="H3" s="543"/>
      <c r="I3" s="543"/>
      <c r="J3" s="543"/>
      <c r="K3" s="543"/>
      <c r="L3" s="571" t="s">
        <v>67</v>
      </c>
      <c r="M3" s="552" t="s">
        <v>60</v>
      </c>
      <c r="N3" s="553"/>
      <c r="O3" s="553"/>
      <c r="P3" s="553"/>
      <c r="Q3" s="553"/>
      <c r="R3" s="553"/>
      <c r="S3" s="553"/>
      <c r="T3" s="554"/>
      <c r="U3" s="156" t="s">
        <v>377</v>
      </c>
      <c r="V3" s="555" t="s">
        <v>360</v>
      </c>
      <c r="W3" s="555"/>
      <c r="Y3" s="544" t="s">
        <v>7</v>
      </c>
      <c r="Z3" s="544"/>
      <c r="AA3" s="544"/>
      <c r="AD3" s="544" t="s">
        <v>49</v>
      </c>
      <c r="AE3" s="544"/>
      <c r="AF3" s="544"/>
      <c r="AH3" s="128" t="s">
        <v>341</v>
      </c>
      <c r="AI3" s="129" t="s">
        <v>390</v>
      </c>
      <c r="AK3" s="130"/>
      <c r="AL3" s="130" t="s">
        <v>371</v>
      </c>
    </row>
    <row r="4" spans="1:38" s="3" customFormat="1" ht="15.75" thickBot="1">
      <c r="A4" s="156"/>
      <c r="B4" s="543" t="s">
        <v>8</v>
      </c>
      <c r="C4" s="543" t="s">
        <v>10</v>
      </c>
      <c r="D4" s="543" t="s">
        <v>8</v>
      </c>
      <c r="E4" s="543" t="s">
        <v>10</v>
      </c>
      <c r="F4" s="543" t="s">
        <v>66</v>
      </c>
      <c r="G4" s="543"/>
      <c r="H4" s="543"/>
      <c r="I4" s="543" t="s">
        <v>9</v>
      </c>
      <c r="J4" s="543"/>
      <c r="K4" s="543"/>
      <c r="L4" s="572"/>
      <c r="M4" s="551" t="s">
        <v>134</v>
      </c>
      <c r="N4" s="551"/>
      <c r="O4" s="551"/>
      <c r="P4" s="551"/>
      <c r="Q4" s="551"/>
      <c r="R4" s="550" t="s">
        <v>135</v>
      </c>
      <c r="S4" s="551" t="s">
        <v>131</v>
      </c>
      <c r="T4" s="551"/>
      <c r="U4" s="569" t="s">
        <v>375</v>
      </c>
      <c r="V4" s="555"/>
      <c r="W4" s="555"/>
      <c r="AD4" s="232" t="s">
        <v>425</v>
      </c>
      <c r="AE4" s="232" t="s">
        <v>426</v>
      </c>
      <c r="AF4" s="232" t="s">
        <v>128</v>
      </c>
      <c r="AH4" s="131"/>
      <c r="AI4" s="132" t="str">
        <f>$Y$7</f>
        <v>A</v>
      </c>
      <c r="AJ4" s="133" t="str">
        <f>$Y$8</f>
        <v>B</v>
      </c>
      <c r="AK4" s="133" t="str">
        <f>$Y$9</f>
        <v>C</v>
      </c>
      <c r="AL4" s="187" t="str">
        <f>$Y$10</f>
        <v>D</v>
      </c>
    </row>
    <row r="5" spans="1:38" s="3" customFormat="1" ht="15.75">
      <c r="A5" s="156" t="s">
        <v>160</v>
      </c>
      <c r="B5" s="543"/>
      <c r="C5" s="543"/>
      <c r="D5" s="543"/>
      <c r="E5" s="543"/>
      <c r="F5" s="13" t="s">
        <v>431</v>
      </c>
      <c r="G5" s="35" t="s">
        <v>61</v>
      </c>
      <c r="H5" s="144" t="s">
        <v>62</v>
      </c>
      <c r="I5" s="13" t="s">
        <v>432</v>
      </c>
      <c r="J5" s="35" t="s">
        <v>63</v>
      </c>
      <c r="K5" s="144" t="s">
        <v>64</v>
      </c>
      <c r="L5" s="13" t="s">
        <v>55</v>
      </c>
      <c r="M5" s="114" t="s">
        <v>21</v>
      </c>
      <c r="N5" s="115" t="s">
        <v>14</v>
      </c>
      <c r="O5" s="116" t="s">
        <v>350</v>
      </c>
      <c r="P5" s="36" t="s">
        <v>15</v>
      </c>
      <c r="Q5" s="117" t="s">
        <v>128</v>
      </c>
      <c r="R5" s="551"/>
      <c r="S5" s="36" t="s">
        <v>132</v>
      </c>
      <c r="T5" s="36" t="s">
        <v>133</v>
      </c>
      <c r="U5" s="569"/>
      <c r="V5" s="119" t="s">
        <v>362</v>
      </c>
      <c r="W5" s="8" t="s">
        <v>361</v>
      </c>
      <c r="Y5" s="545" t="s">
        <v>6</v>
      </c>
      <c r="Z5" s="57" t="s">
        <v>68</v>
      </c>
      <c r="AA5" s="561" t="s">
        <v>6</v>
      </c>
      <c r="AB5" s="560" t="s">
        <v>136</v>
      </c>
      <c r="AD5" s="5" t="s">
        <v>21</v>
      </c>
      <c r="AE5" s="5" t="s">
        <v>14</v>
      </c>
      <c r="AF5" s="5" t="s">
        <v>22</v>
      </c>
      <c r="AH5" s="134" t="str">
        <f>$Y$7</f>
        <v>A</v>
      </c>
      <c r="AI5" s="169"/>
      <c r="AJ5" s="155" t="str">
        <f>VLOOKUP("AB1",$P$7:$U$36,6,FALSE)</f>
        <v>01</v>
      </c>
      <c r="AK5" s="155" t="str">
        <f>VLOOKUP("AC1",$P$7:$U$36,6,FALSE)</f>
        <v>05</v>
      </c>
      <c r="AL5" s="192" t="str">
        <f>VLOOKUP("AD1",$P$7:$U$36,6,FALSE)</f>
        <v>04</v>
      </c>
    </row>
    <row r="6" spans="1:38" s="37" customFormat="1" ht="16.5" thickBot="1">
      <c r="A6" s="157"/>
      <c r="B6" s="231" t="s">
        <v>349</v>
      </c>
      <c r="C6" s="231" t="s">
        <v>349</v>
      </c>
      <c r="D6" s="229" t="s">
        <v>424</v>
      </c>
      <c r="E6" s="229" t="s">
        <v>424</v>
      </c>
      <c r="F6" s="113" t="s">
        <v>359</v>
      </c>
      <c r="G6" s="113" t="s">
        <v>356</v>
      </c>
      <c r="H6" s="229" t="s">
        <v>424</v>
      </c>
      <c r="I6" s="113" t="s">
        <v>359</v>
      </c>
      <c r="J6" s="113" t="s">
        <v>356</v>
      </c>
      <c r="K6" s="229" t="s">
        <v>424</v>
      </c>
      <c r="L6" s="113" t="s">
        <v>357</v>
      </c>
      <c r="M6" s="230" t="s">
        <v>349</v>
      </c>
      <c r="N6" s="118" t="s">
        <v>354</v>
      </c>
      <c r="O6" s="118" t="s">
        <v>357</v>
      </c>
      <c r="P6" s="118" t="s">
        <v>355</v>
      </c>
      <c r="Q6" s="113" t="s">
        <v>357</v>
      </c>
      <c r="R6" s="118" t="s">
        <v>358</v>
      </c>
      <c r="S6" s="113" t="s">
        <v>353</v>
      </c>
      <c r="T6" s="113" t="s">
        <v>353</v>
      </c>
      <c r="U6" s="570"/>
      <c r="V6" s="118" t="s">
        <v>357</v>
      </c>
      <c r="W6" s="113" t="s">
        <v>353</v>
      </c>
      <c r="Y6" s="546"/>
      <c r="Z6" s="230" t="s">
        <v>349</v>
      </c>
      <c r="AA6" s="562"/>
      <c r="AB6" s="560"/>
      <c r="AD6" s="8" t="s">
        <v>23</v>
      </c>
      <c r="AE6" s="8" t="s">
        <v>23</v>
      </c>
      <c r="AF6" s="235" t="s">
        <v>428</v>
      </c>
      <c r="AH6" s="401" t="str">
        <f>$Y$8</f>
        <v>B</v>
      </c>
      <c r="AI6" s="402"/>
      <c r="AJ6" s="403"/>
      <c r="AK6" s="404" t="str">
        <f>VLOOKUP("BC1",$P$7:$U$36,6,FALSE)</f>
        <v>03</v>
      </c>
      <c r="AL6" s="405" t="str">
        <f>VLOOKUP("BD1",$P$7:$U$36,6,FALSE)</f>
        <v>06</v>
      </c>
    </row>
    <row r="7" spans="1:38" ht="15.75">
      <c r="A7" s="18" t="s">
        <v>378</v>
      </c>
      <c r="B7" s="112">
        <v>45389</v>
      </c>
      <c r="C7" s="287">
        <v>1</v>
      </c>
      <c r="D7" s="47"/>
      <c r="E7" s="1"/>
      <c r="F7" s="145" t="str">
        <f aca="true" t="shared" si="0" ref="F7:F36">VLOOKUP(G7,$Y$5:$Z$14,2,FALSE)</f>
        <v>ディアス</v>
      </c>
      <c r="G7" s="146" t="str">
        <f>MID(M7,1,1)</f>
        <v>A</v>
      </c>
      <c r="H7" s="282">
        <v>7</v>
      </c>
      <c r="I7" s="145" t="str">
        <f aca="true" t="shared" si="1" ref="I7:I36">VLOOKUP(J7,$Y$5:$Z$14,2,FALSE)</f>
        <v>ベアーズ</v>
      </c>
      <c r="J7" s="279" t="str">
        <f>MID(M7,2,1)</f>
        <v>B</v>
      </c>
      <c r="K7" s="282">
        <v>1</v>
      </c>
      <c r="L7" s="146" t="str">
        <f aca="true" t="shared" si="2" ref="L7:L12">IF(H7="","",IF(H7=K7,"△",IF(H7&gt;K7,"○","●")))</f>
        <v>○</v>
      </c>
      <c r="M7" s="285" t="s">
        <v>342</v>
      </c>
      <c r="N7" s="146" t="str">
        <f aca="true" t="shared" si="3" ref="N7:N36">VLOOKUP(M7,$AD$6:$AE$61,2,FALSE)</f>
        <v>AB</v>
      </c>
      <c r="O7" s="146">
        <f>COUNTIF($N$7:N7,N7)</f>
        <v>1</v>
      </c>
      <c r="P7" s="146" t="str">
        <f aca="true" t="shared" si="4" ref="P7:P36">CONCATENATE(N7,O7)</f>
        <v>AB1</v>
      </c>
      <c r="Q7" s="146" t="str">
        <f aca="true" t="shared" si="5" ref="Q7:Q36">VLOOKUP(M7,$AD$6:$AF$61,3,FALSE)</f>
        <v>N</v>
      </c>
      <c r="R7" s="146" t="str">
        <f>IF(L7="","",IF(Q7="N",L7,VLOOKUP(L7,$Z$21:$AA$23,2,FALSE)))</f>
        <v>○</v>
      </c>
      <c r="S7" s="146">
        <f>IF(L7="","",IF(Q7="N",H7,K7))</f>
        <v>7</v>
      </c>
      <c r="T7" s="146">
        <f>IF(L7="","",IF(Q7="N",K7,H7))</f>
        <v>1</v>
      </c>
      <c r="U7" s="158" t="str">
        <f>A7</f>
        <v>01</v>
      </c>
      <c r="V7" s="148" t="str">
        <f>IF(AND(H7&lt;&gt;"",K7&lt;&gt;""),"0","1")</f>
        <v>0</v>
      </c>
      <c r="W7" s="149"/>
      <c r="Y7" s="120" t="s">
        <v>364</v>
      </c>
      <c r="Z7" s="152" t="s">
        <v>463</v>
      </c>
      <c r="AA7" s="109" t="s">
        <v>16</v>
      </c>
      <c r="AB7" s="39">
        <f aca="true" t="shared" si="6" ref="AB7:AB14">IF(OR(Z7="",COUNTIF($Z$7:$Z$14,Z7)&gt;1),"エラー","")</f>
      </c>
      <c r="AD7" s="8" t="s">
        <v>24</v>
      </c>
      <c r="AE7" s="8" t="s">
        <v>24</v>
      </c>
      <c r="AF7" s="235" t="s">
        <v>428</v>
      </c>
      <c r="AH7" s="134" t="str">
        <f>$Y$9</f>
        <v>C</v>
      </c>
      <c r="AI7" s="399"/>
      <c r="AJ7" s="400"/>
      <c r="AK7" s="135"/>
      <c r="AL7" s="188" t="str">
        <f>VLOOKUP("CD1",$P$7:$U$36,6,FALSE)</f>
        <v>02</v>
      </c>
    </row>
    <row r="8" spans="1:38" ht="16.5" thickBot="1">
      <c r="A8" s="18" t="s">
        <v>379</v>
      </c>
      <c r="B8" s="112">
        <v>45389</v>
      </c>
      <c r="C8" s="287">
        <v>2</v>
      </c>
      <c r="D8" s="47"/>
      <c r="E8" s="1"/>
      <c r="F8" s="145" t="str">
        <f t="shared" si="0"/>
        <v>エンジェルス</v>
      </c>
      <c r="G8" s="146" t="str">
        <f aca="true" t="shared" si="7" ref="G8:G36">MID(M8,1,1)</f>
        <v>C</v>
      </c>
      <c r="H8" s="282">
        <v>4</v>
      </c>
      <c r="I8" s="145" t="str">
        <f t="shared" si="1"/>
        <v>サンデーズＪｒ</v>
      </c>
      <c r="J8" s="279" t="str">
        <f aca="true" t="shared" si="8" ref="J8:J36">MID(M8,2,1)</f>
        <v>D</v>
      </c>
      <c r="K8" s="282">
        <v>10</v>
      </c>
      <c r="L8" s="146" t="str">
        <f t="shared" si="2"/>
        <v>●</v>
      </c>
      <c r="M8" s="143" t="s">
        <v>454</v>
      </c>
      <c r="N8" s="146" t="str">
        <f t="shared" si="3"/>
        <v>CD</v>
      </c>
      <c r="O8" s="146">
        <f>COUNTIF($N$7:N8,N8)</f>
        <v>1</v>
      </c>
      <c r="P8" s="146" t="str">
        <f t="shared" si="4"/>
        <v>CD1</v>
      </c>
      <c r="Q8" s="146" t="str">
        <f t="shared" si="5"/>
        <v>N</v>
      </c>
      <c r="R8" s="146" t="str">
        <f>IF(L8="","",IF(Q8="N",L8,VLOOKUP(L8,$Z$21:$AA$23,2,FALSE)))</f>
        <v>●</v>
      </c>
      <c r="S8" s="146">
        <f>IF(L8="","",IF(Q8="N",H8,K8))</f>
        <v>4</v>
      </c>
      <c r="T8" s="146">
        <f>IF(L8="","",IF(Q8="N",K8,H8))</f>
        <v>10</v>
      </c>
      <c r="U8" s="158" t="str">
        <f aca="true" t="shared" si="9" ref="U8:U36">A8</f>
        <v>02</v>
      </c>
      <c r="V8" s="148" t="str">
        <f>IF(AND(H8&lt;&gt;"",K8&lt;&gt;""),"0","1")</f>
        <v>0</v>
      </c>
      <c r="W8" s="149">
        <f>IF(D7&lt;&gt;"",D7,B7)</f>
        <v>45389</v>
      </c>
      <c r="Y8" s="121" t="s">
        <v>365</v>
      </c>
      <c r="Z8" s="127" t="s">
        <v>464</v>
      </c>
      <c r="AA8" s="9" t="s">
        <v>17</v>
      </c>
      <c r="AB8" s="39">
        <f t="shared" si="6"/>
      </c>
      <c r="AD8" s="8" t="s">
        <v>25</v>
      </c>
      <c r="AE8" s="8" t="s">
        <v>25</v>
      </c>
      <c r="AF8" s="235" t="s">
        <v>428</v>
      </c>
      <c r="AH8" s="189" t="str">
        <f>$Y$10</f>
        <v>D</v>
      </c>
      <c r="AI8" s="193"/>
      <c r="AJ8" s="194"/>
      <c r="AK8" s="190"/>
      <c r="AL8" s="191"/>
    </row>
    <row r="9" spans="1:32" ht="13.5">
      <c r="A9" s="18" t="s">
        <v>380</v>
      </c>
      <c r="B9" s="112">
        <v>45396</v>
      </c>
      <c r="C9" s="287">
        <v>1</v>
      </c>
      <c r="D9" s="47"/>
      <c r="E9" s="1"/>
      <c r="F9" s="145" t="str">
        <f t="shared" si="0"/>
        <v>ベアーズ</v>
      </c>
      <c r="G9" s="146" t="str">
        <f t="shared" si="7"/>
        <v>B</v>
      </c>
      <c r="H9" s="282">
        <v>7</v>
      </c>
      <c r="I9" s="145" t="str">
        <f t="shared" si="1"/>
        <v>エンジェルス</v>
      </c>
      <c r="J9" s="279" t="str">
        <f t="shared" si="8"/>
        <v>C</v>
      </c>
      <c r="K9" s="282">
        <v>10</v>
      </c>
      <c r="L9" s="146" t="str">
        <f t="shared" si="2"/>
        <v>●</v>
      </c>
      <c r="M9" s="143" t="s">
        <v>343</v>
      </c>
      <c r="N9" s="146" t="str">
        <f t="shared" si="3"/>
        <v>BC</v>
      </c>
      <c r="O9" s="146">
        <f>COUNTIF($N$7:N9,N9)</f>
        <v>1</v>
      </c>
      <c r="P9" s="146" t="str">
        <f t="shared" si="4"/>
        <v>BC1</v>
      </c>
      <c r="Q9" s="146" t="str">
        <f t="shared" si="5"/>
        <v>N</v>
      </c>
      <c r="R9" s="146" t="str">
        <f>IF(L9="","",IF(Q9="N",L9,VLOOKUP(L9,$Z$21:$AA$23,2,FALSE)))</f>
        <v>●</v>
      </c>
      <c r="S9" s="146">
        <f>IF(L9="","",IF(Q9="N",H9,K9))</f>
        <v>7</v>
      </c>
      <c r="T9" s="146">
        <f>IF(L9="","",IF(Q9="N",K9,H9))</f>
        <v>10</v>
      </c>
      <c r="U9" s="158" t="str">
        <f t="shared" si="9"/>
        <v>03</v>
      </c>
      <c r="V9" s="148" t="str">
        <f aca="true" t="shared" si="10" ref="V9:V36">IF(AND(H9&lt;&gt;"",K9&lt;&gt;""),"0","1")</f>
        <v>0</v>
      </c>
      <c r="W9" s="149">
        <f aca="true" t="shared" si="11" ref="W9:W36">IF(D8&lt;&gt;"",D8,B8)</f>
        <v>45389</v>
      </c>
      <c r="Y9" s="122" t="s">
        <v>366</v>
      </c>
      <c r="Z9" s="127" t="s">
        <v>465</v>
      </c>
      <c r="AA9" s="9" t="s">
        <v>18</v>
      </c>
      <c r="AB9" s="39">
        <f t="shared" si="6"/>
      </c>
      <c r="AD9" s="233" t="s">
        <v>26</v>
      </c>
      <c r="AE9" s="233" t="s">
        <v>26</v>
      </c>
      <c r="AF9" s="233" t="s">
        <v>50</v>
      </c>
    </row>
    <row r="10" spans="1:38" ht="14.25" thickBot="1">
      <c r="A10" s="18" t="s">
        <v>381</v>
      </c>
      <c r="B10" s="112">
        <v>45396</v>
      </c>
      <c r="C10" s="287">
        <v>2</v>
      </c>
      <c r="D10" s="47"/>
      <c r="E10" s="1"/>
      <c r="F10" s="145" t="str">
        <f t="shared" si="0"/>
        <v>ディアス</v>
      </c>
      <c r="G10" s="146" t="str">
        <f t="shared" si="7"/>
        <v>A</v>
      </c>
      <c r="H10" s="282">
        <v>7</v>
      </c>
      <c r="I10" s="145" t="str">
        <f t="shared" si="1"/>
        <v>サンデーズＪｒ</v>
      </c>
      <c r="J10" s="279" t="str">
        <f t="shared" si="8"/>
        <v>D</v>
      </c>
      <c r="K10" s="282">
        <v>10</v>
      </c>
      <c r="L10" s="146" t="str">
        <f t="shared" si="2"/>
        <v>●</v>
      </c>
      <c r="M10" s="143" t="s">
        <v>372</v>
      </c>
      <c r="N10" s="146" t="str">
        <f t="shared" si="3"/>
        <v>AD</v>
      </c>
      <c r="O10" s="146">
        <f>COUNTIF($N$7:N10,N10)</f>
        <v>1</v>
      </c>
      <c r="P10" s="146" t="str">
        <f t="shared" si="4"/>
        <v>AD1</v>
      </c>
      <c r="Q10" s="146" t="str">
        <f t="shared" si="5"/>
        <v>N</v>
      </c>
      <c r="R10" s="146" t="str">
        <f aca="true" t="shared" si="12" ref="R10:R36">IF(L10="","",IF(Q10="N",L10,VLOOKUP(L10,$Z$21:$AA$23,2,FALSE)))</f>
        <v>●</v>
      </c>
      <c r="S10" s="146">
        <f aca="true" t="shared" si="13" ref="S10:S36">IF(L10="","",IF(Q10="N",H10,K10))</f>
        <v>7</v>
      </c>
      <c r="T10" s="146">
        <f aca="true" t="shared" si="14" ref="T10:T36">IF(L10="","",IF(Q10="N",K10,H10))</f>
        <v>10</v>
      </c>
      <c r="U10" s="158" t="str">
        <f t="shared" si="9"/>
        <v>04</v>
      </c>
      <c r="V10" s="148" t="str">
        <f t="shared" si="10"/>
        <v>0</v>
      </c>
      <c r="W10" s="149">
        <f t="shared" si="11"/>
        <v>45396</v>
      </c>
      <c r="Y10" s="123" t="s">
        <v>367</v>
      </c>
      <c r="Z10" s="127" t="s">
        <v>466</v>
      </c>
      <c r="AA10" s="9" t="s">
        <v>19</v>
      </c>
      <c r="AB10" s="39">
        <f t="shared" si="6"/>
      </c>
      <c r="AD10" s="233" t="s">
        <v>27</v>
      </c>
      <c r="AE10" s="233" t="s">
        <v>27</v>
      </c>
      <c r="AF10" s="233" t="s">
        <v>50</v>
      </c>
      <c r="AH10" s="128" t="s">
        <v>373</v>
      </c>
      <c r="AI10" s="129" t="s">
        <v>391</v>
      </c>
      <c r="AJ10" s="3"/>
      <c r="AK10" s="130"/>
      <c r="AL10" s="130" t="s">
        <v>376</v>
      </c>
    </row>
    <row r="11" spans="1:38" ht="14.25" thickBot="1">
      <c r="A11" s="18" t="s">
        <v>382</v>
      </c>
      <c r="B11" s="112">
        <v>45403</v>
      </c>
      <c r="C11" s="287">
        <v>1</v>
      </c>
      <c r="D11" s="47"/>
      <c r="E11" s="1"/>
      <c r="F11" s="145" t="str">
        <f t="shared" si="0"/>
        <v>エンジェルス</v>
      </c>
      <c r="G11" s="146" t="str">
        <f t="shared" si="7"/>
        <v>C</v>
      </c>
      <c r="H11" s="282">
        <v>3</v>
      </c>
      <c r="I11" s="145" t="str">
        <f t="shared" si="1"/>
        <v>ディアス</v>
      </c>
      <c r="J11" s="279" t="str">
        <f t="shared" si="8"/>
        <v>A</v>
      </c>
      <c r="K11" s="282">
        <v>12</v>
      </c>
      <c r="L11" s="146" t="str">
        <f t="shared" si="2"/>
        <v>●</v>
      </c>
      <c r="M11" s="143" t="s">
        <v>455</v>
      </c>
      <c r="N11" s="146" t="str">
        <f t="shared" si="3"/>
        <v>AC</v>
      </c>
      <c r="O11" s="146">
        <f>COUNTIF($N$7:N11,N11)</f>
        <v>1</v>
      </c>
      <c r="P11" s="146" t="str">
        <f t="shared" si="4"/>
        <v>AC1</v>
      </c>
      <c r="Q11" s="146" t="str">
        <f t="shared" si="5"/>
        <v>Y</v>
      </c>
      <c r="R11" s="146" t="str">
        <f t="shared" si="12"/>
        <v>○</v>
      </c>
      <c r="S11" s="146">
        <f t="shared" si="13"/>
        <v>12</v>
      </c>
      <c r="T11" s="146">
        <f t="shared" si="14"/>
        <v>3</v>
      </c>
      <c r="U11" s="158" t="str">
        <f t="shared" si="9"/>
        <v>05</v>
      </c>
      <c r="V11" s="148" t="str">
        <f t="shared" si="10"/>
        <v>0</v>
      </c>
      <c r="W11" s="149">
        <f t="shared" si="11"/>
        <v>45396</v>
      </c>
      <c r="Y11" s="124" t="s">
        <v>368</v>
      </c>
      <c r="Z11" s="242" t="s">
        <v>398</v>
      </c>
      <c r="AA11" s="243" t="s">
        <v>20</v>
      </c>
      <c r="AB11" s="39">
        <f t="shared" si="6"/>
      </c>
      <c r="AD11" s="233" t="s">
        <v>279</v>
      </c>
      <c r="AE11" s="233" t="s">
        <v>279</v>
      </c>
      <c r="AF11" s="233" t="s">
        <v>50</v>
      </c>
      <c r="AH11" s="131"/>
      <c r="AI11" s="132" t="str">
        <f>$Y$7</f>
        <v>A</v>
      </c>
      <c r="AJ11" s="133" t="str">
        <f>$Y$8</f>
        <v>B</v>
      </c>
      <c r="AK11" s="133" t="str">
        <f>$Y$9</f>
        <v>C</v>
      </c>
      <c r="AL11" s="187" t="str">
        <f>$Y$10</f>
        <v>D</v>
      </c>
    </row>
    <row r="12" spans="1:38" ht="14.25" thickBot="1">
      <c r="A12" s="177" t="s">
        <v>386</v>
      </c>
      <c r="B12" s="112">
        <v>45403</v>
      </c>
      <c r="C12" s="288">
        <v>2</v>
      </c>
      <c r="D12" s="164"/>
      <c r="E12" s="165"/>
      <c r="F12" s="166" t="str">
        <f t="shared" si="0"/>
        <v>サンデーズＪｒ</v>
      </c>
      <c r="G12" s="167" t="str">
        <f t="shared" si="7"/>
        <v>D</v>
      </c>
      <c r="H12" s="283">
        <v>15</v>
      </c>
      <c r="I12" s="166" t="str">
        <f t="shared" si="1"/>
        <v>ベアーズ</v>
      </c>
      <c r="J12" s="280" t="str">
        <f t="shared" si="8"/>
        <v>B</v>
      </c>
      <c r="K12" s="283">
        <v>3</v>
      </c>
      <c r="L12" s="167" t="str">
        <f t="shared" si="2"/>
        <v>○</v>
      </c>
      <c r="M12" s="143" t="s">
        <v>345</v>
      </c>
      <c r="N12" s="146" t="str">
        <f t="shared" si="3"/>
        <v>BD</v>
      </c>
      <c r="O12" s="146">
        <f>COUNTIF($N$7:N12,N12)</f>
        <v>1</v>
      </c>
      <c r="P12" s="146" t="str">
        <f t="shared" si="4"/>
        <v>BD1</v>
      </c>
      <c r="Q12" s="146" t="str">
        <f t="shared" si="5"/>
        <v>Y</v>
      </c>
      <c r="R12" s="146" t="str">
        <f t="shared" si="12"/>
        <v>●</v>
      </c>
      <c r="S12" s="146">
        <f t="shared" si="13"/>
        <v>3</v>
      </c>
      <c r="T12" s="146">
        <f t="shared" si="14"/>
        <v>15</v>
      </c>
      <c r="U12" s="158" t="str">
        <f t="shared" si="9"/>
        <v>06</v>
      </c>
      <c r="V12" s="148" t="str">
        <f t="shared" si="10"/>
        <v>0</v>
      </c>
      <c r="W12" s="149">
        <f t="shared" si="11"/>
        <v>45403</v>
      </c>
      <c r="Y12" s="125" t="s">
        <v>276</v>
      </c>
      <c r="Z12" s="242" t="s">
        <v>399</v>
      </c>
      <c r="AA12" s="243" t="s">
        <v>276</v>
      </c>
      <c r="AB12" s="39">
        <f t="shared" si="6"/>
      </c>
      <c r="AD12" s="233" t="s">
        <v>280</v>
      </c>
      <c r="AE12" s="233" t="s">
        <v>280</v>
      </c>
      <c r="AF12" s="233" t="s">
        <v>50</v>
      </c>
      <c r="AH12" s="134" t="str">
        <f>$Y$7</f>
        <v>A</v>
      </c>
      <c r="AI12" s="169"/>
      <c r="AJ12" s="155" t="str">
        <f>VLOOKUP("AB2",$P$7:$U$36,6,FALSE)</f>
        <v>08</v>
      </c>
      <c r="AK12" s="155">
        <f>VLOOKUP("AC2",$P$7:$U$36,6,FALSE)</f>
        <v>12</v>
      </c>
      <c r="AL12" s="192" t="str">
        <f>VLOOKUP("AD2",$P$7:$U$36,6,FALSE)</f>
        <v>09</v>
      </c>
    </row>
    <row r="13" spans="1:38" ht="14.25" thickTop="1">
      <c r="A13" s="18" t="s">
        <v>383</v>
      </c>
      <c r="B13" s="159">
        <v>45410</v>
      </c>
      <c r="C13" s="289">
        <v>1</v>
      </c>
      <c r="D13" s="160"/>
      <c r="E13" s="161"/>
      <c r="F13" s="162" t="str">
        <f t="shared" si="0"/>
        <v>サンデーズＪｒ</v>
      </c>
      <c r="G13" s="163" t="str">
        <f t="shared" si="7"/>
        <v>D</v>
      </c>
      <c r="H13" s="284">
        <v>4</v>
      </c>
      <c r="I13" s="162" t="str">
        <f t="shared" si="1"/>
        <v>エンジェルス</v>
      </c>
      <c r="J13" s="281" t="str">
        <f t="shared" si="8"/>
        <v>C</v>
      </c>
      <c r="K13" s="284">
        <v>13</v>
      </c>
      <c r="L13" s="163" t="str">
        <f aca="true" t="shared" si="15" ref="L13:L36">IF(H13="","",IF(H13=K13,"△",IF(H13&gt;K13,"○","●")))</f>
        <v>●</v>
      </c>
      <c r="M13" s="143" t="s">
        <v>346</v>
      </c>
      <c r="N13" s="146" t="str">
        <f t="shared" si="3"/>
        <v>CD</v>
      </c>
      <c r="O13" s="146">
        <f>COUNTIF($N$7:N13,N13)</f>
        <v>2</v>
      </c>
      <c r="P13" s="146" t="str">
        <f t="shared" si="4"/>
        <v>CD2</v>
      </c>
      <c r="Q13" s="146" t="str">
        <f t="shared" si="5"/>
        <v>Y</v>
      </c>
      <c r="R13" s="146" t="str">
        <f t="shared" si="12"/>
        <v>○</v>
      </c>
      <c r="S13" s="146">
        <f t="shared" si="13"/>
        <v>13</v>
      </c>
      <c r="T13" s="146">
        <f t="shared" si="14"/>
        <v>4</v>
      </c>
      <c r="U13" s="158" t="str">
        <f t="shared" si="9"/>
        <v>07</v>
      </c>
      <c r="V13" s="148" t="str">
        <f t="shared" si="10"/>
        <v>0</v>
      </c>
      <c r="W13" s="149">
        <f t="shared" si="11"/>
        <v>45403</v>
      </c>
      <c r="Y13" s="147" t="s">
        <v>369</v>
      </c>
      <c r="Z13" s="242" t="s">
        <v>400</v>
      </c>
      <c r="AA13" s="243" t="s">
        <v>277</v>
      </c>
      <c r="AB13" s="39">
        <f t="shared" si="6"/>
      </c>
      <c r="AD13" s="8" t="s">
        <v>281</v>
      </c>
      <c r="AE13" s="8" t="s">
        <v>284</v>
      </c>
      <c r="AF13" s="236" t="s">
        <v>430</v>
      </c>
      <c r="AH13" s="134" t="str">
        <f>$Y$8</f>
        <v>B</v>
      </c>
      <c r="AI13" s="168"/>
      <c r="AJ13" s="135"/>
      <c r="AK13" s="110">
        <f>VLOOKUP("BC2",$P$7:$U$36,6,FALSE)</f>
        <v>10</v>
      </c>
      <c r="AL13" s="188">
        <f>VLOOKUP("BD2",$P$7:$U$36,6,FALSE)</f>
        <v>11</v>
      </c>
    </row>
    <row r="14" spans="1:38" ht="14.25" thickBot="1">
      <c r="A14" s="18" t="s">
        <v>384</v>
      </c>
      <c r="B14" s="159">
        <v>45410</v>
      </c>
      <c r="C14" s="287">
        <v>2</v>
      </c>
      <c r="D14" s="47"/>
      <c r="E14" s="1"/>
      <c r="F14" s="145" t="str">
        <f t="shared" si="0"/>
        <v>ベアーズ</v>
      </c>
      <c r="G14" s="146" t="str">
        <f t="shared" si="7"/>
        <v>B</v>
      </c>
      <c r="H14" s="282">
        <v>4</v>
      </c>
      <c r="I14" s="145" t="str">
        <f t="shared" si="1"/>
        <v>ディアス</v>
      </c>
      <c r="J14" s="279" t="str">
        <f t="shared" si="8"/>
        <v>A</v>
      </c>
      <c r="K14" s="282">
        <v>12</v>
      </c>
      <c r="L14" s="146" t="str">
        <f t="shared" si="15"/>
        <v>●</v>
      </c>
      <c r="M14" s="143" t="s">
        <v>456</v>
      </c>
      <c r="N14" s="146" t="str">
        <f t="shared" si="3"/>
        <v>AB</v>
      </c>
      <c r="O14" s="146">
        <f>COUNTIF($N$7:N14,N14)</f>
        <v>2</v>
      </c>
      <c r="P14" s="146" t="str">
        <f t="shared" si="4"/>
        <v>AB2</v>
      </c>
      <c r="Q14" s="146" t="str">
        <f t="shared" si="5"/>
        <v>Y</v>
      </c>
      <c r="R14" s="146" t="str">
        <f t="shared" si="12"/>
        <v>○</v>
      </c>
      <c r="S14" s="146">
        <f t="shared" si="13"/>
        <v>12</v>
      </c>
      <c r="T14" s="146">
        <f t="shared" si="14"/>
        <v>4</v>
      </c>
      <c r="U14" s="158" t="str">
        <f t="shared" si="9"/>
        <v>08</v>
      </c>
      <c r="V14" s="148" t="str">
        <f t="shared" si="10"/>
        <v>0</v>
      </c>
      <c r="W14" s="149">
        <f t="shared" si="11"/>
        <v>45410</v>
      </c>
      <c r="Y14" s="126" t="s">
        <v>370</v>
      </c>
      <c r="Z14" s="244" t="s">
        <v>401</v>
      </c>
      <c r="AA14" s="245" t="s">
        <v>278</v>
      </c>
      <c r="AB14" s="39">
        <f t="shared" si="6"/>
      </c>
      <c r="AD14" s="8" t="s">
        <v>28</v>
      </c>
      <c r="AE14" s="8" t="s">
        <v>28</v>
      </c>
      <c r="AF14" s="235" t="s">
        <v>428</v>
      </c>
      <c r="AH14" s="134" t="str">
        <f>$Y$9</f>
        <v>C</v>
      </c>
      <c r="AI14" s="170"/>
      <c r="AJ14" s="136"/>
      <c r="AK14" s="135"/>
      <c r="AL14" s="188" t="str">
        <f>VLOOKUP("CD2",$P$7:$U$36,6,FALSE)</f>
        <v>07</v>
      </c>
    </row>
    <row r="15" spans="1:38" ht="14.25" thickBot="1">
      <c r="A15" s="18" t="s">
        <v>385</v>
      </c>
      <c r="B15" s="112">
        <v>45417</v>
      </c>
      <c r="C15" s="287">
        <v>1</v>
      </c>
      <c r="D15" s="47">
        <v>45431</v>
      </c>
      <c r="E15" s="1">
        <v>1</v>
      </c>
      <c r="F15" s="145" t="str">
        <f t="shared" si="0"/>
        <v>サンデーズＪｒ</v>
      </c>
      <c r="G15" s="146" t="str">
        <f t="shared" si="7"/>
        <v>D</v>
      </c>
      <c r="H15" s="282"/>
      <c r="I15" s="145" t="str">
        <f t="shared" si="1"/>
        <v>ディアス</v>
      </c>
      <c r="J15" s="279" t="str">
        <f t="shared" si="8"/>
        <v>A</v>
      </c>
      <c r="K15" s="282"/>
      <c r="L15" s="146">
        <f t="shared" si="15"/>
      </c>
      <c r="M15" s="143" t="s">
        <v>348</v>
      </c>
      <c r="N15" s="146" t="str">
        <f t="shared" si="3"/>
        <v>AD</v>
      </c>
      <c r="O15" s="146">
        <f>COUNTIF($N$7:N15,N15)</f>
        <v>2</v>
      </c>
      <c r="P15" s="146" t="str">
        <f t="shared" si="4"/>
        <v>AD2</v>
      </c>
      <c r="Q15" s="146" t="str">
        <f t="shared" si="5"/>
        <v>Y</v>
      </c>
      <c r="R15" s="146">
        <f t="shared" si="12"/>
      </c>
      <c r="S15" s="146">
        <f t="shared" si="13"/>
      </c>
      <c r="T15" s="146">
        <f t="shared" si="14"/>
      </c>
      <c r="U15" s="158" t="str">
        <f t="shared" si="9"/>
        <v>09</v>
      </c>
      <c r="V15" s="148" t="str">
        <f t="shared" si="10"/>
        <v>1</v>
      </c>
      <c r="W15" s="149">
        <f t="shared" si="11"/>
        <v>45410</v>
      </c>
      <c r="AD15" s="8" t="s">
        <v>29</v>
      </c>
      <c r="AE15" s="8" t="s">
        <v>29</v>
      </c>
      <c r="AF15" s="235" t="s">
        <v>428</v>
      </c>
      <c r="AH15" s="189" t="str">
        <f>$Y$10</f>
        <v>D</v>
      </c>
      <c r="AI15" s="193"/>
      <c r="AJ15" s="194"/>
      <c r="AK15" s="190"/>
      <c r="AL15" s="191"/>
    </row>
    <row r="16" spans="1:32" ht="13.5">
      <c r="A16" s="18">
        <f aca="true" t="shared" si="16" ref="A16:A36">A15+1</f>
        <v>10</v>
      </c>
      <c r="B16" s="112">
        <v>45417</v>
      </c>
      <c r="C16" s="287">
        <v>2</v>
      </c>
      <c r="D16" s="47">
        <v>45431</v>
      </c>
      <c r="E16" s="1">
        <v>2</v>
      </c>
      <c r="F16" s="145" t="str">
        <f t="shared" si="0"/>
        <v>エンジェルス</v>
      </c>
      <c r="G16" s="146" t="str">
        <f t="shared" si="7"/>
        <v>C</v>
      </c>
      <c r="H16" s="282"/>
      <c r="I16" s="145" t="str">
        <f t="shared" si="1"/>
        <v>ベアーズ</v>
      </c>
      <c r="J16" s="279" t="str">
        <f t="shared" si="8"/>
        <v>B</v>
      </c>
      <c r="K16" s="282"/>
      <c r="L16" s="146">
        <f t="shared" si="15"/>
      </c>
      <c r="M16" s="143" t="s">
        <v>347</v>
      </c>
      <c r="N16" s="146" t="str">
        <f t="shared" si="3"/>
        <v>BC</v>
      </c>
      <c r="O16" s="146">
        <f>COUNTIF($N$7:N16,N16)</f>
        <v>2</v>
      </c>
      <c r="P16" s="146" t="str">
        <f t="shared" si="4"/>
        <v>BC2</v>
      </c>
      <c r="Q16" s="146" t="str">
        <f t="shared" si="5"/>
        <v>Y</v>
      </c>
      <c r="R16" s="146">
        <f t="shared" si="12"/>
      </c>
      <c r="S16" s="146">
        <f t="shared" si="13"/>
      </c>
      <c r="T16" s="146">
        <f t="shared" si="14"/>
      </c>
      <c r="U16" s="158">
        <f t="shared" si="9"/>
        <v>10</v>
      </c>
      <c r="V16" s="148" t="str">
        <f t="shared" si="10"/>
        <v>1</v>
      </c>
      <c r="W16" s="149">
        <f t="shared" si="11"/>
        <v>45431</v>
      </c>
      <c r="AD16" s="233" t="s">
        <v>30</v>
      </c>
      <c r="AE16" s="233" t="s">
        <v>30</v>
      </c>
      <c r="AF16" s="233" t="s">
        <v>286</v>
      </c>
    </row>
    <row r="17" spans="1:38" ht="14.25" thickBot="1">
      <c r="A17" s="18">
        <f t="shared" si="16"/>
        <v>11</v>
      </c>
      <c r="B17" s="112">
        <v>45424</v>
      </c>
      <c r="C17" s="287">
        <v>1</v>
      </c>
      <c r="D17" s="47">
        <v>45445</v>
      </c>
      <c r="E17" s="1">
        <v>1</v>
      </c>
      <c r="F17" s="145" t="str">
        <f t="shared" si="0"/>
        <v>ベアーズ</v>
      </c>
      <c r="G17" s="146" t="str">
        <f t="shared" si="7"/>
        <v>B</v>
      </c>
      <c r="H17" s="282"/>
      <c r="I17" s="145" t="str">
        <f t="shared" si="1"/>
        <v>サンデーズＪｒ</v>
      </c>
      <c r="J17" s="279" t="str">
        <f t="shared" si="8"/>
        <v>D</v>
      </c>
      <c r="K17" s="282"/>
      <c r="L17" s="146">
        <f t="shared" si="15"/>
      </c>
      <c r="M17" s="143" t="s">
        <v>457</v>
      </c>
      <c r="N17" s="146" t="str">
        <f t="shared" si="3"/>
        <v>BD</v>
      </c>
      <c r="O17" s="146">
        <f>COUNTIF($N$7:N17,N17)</f>
        <v>2</v>
      </c>
      <c r="P17" s="146" t="str">
        <f t="shared" si="4"/>
        <v>BD2</v>
      </c>
      <c r="Q17" s="146" t="str">
        <f t="shared" si="5"/>
        <v>N</v>
      </c>
      <c r="R17" s="146">
        <f t="shared" si="12"/>
      </c>
      <c r="S17" s="146">
        <f t="shared" si="13"/>
      </c>
      <c r="T17" s="146">
        <f t="shared" si="14"/>
      </c>
      <c r="U17" s="158">
        <f t="shared" si="9"/>
        <v>11</v>
      </c>
      <c r="V17" s="148" t="str">
        <f t="shared" si="10"/>
        <v>1</v>
      </c>
      <c r="W17" s="149">
        <f t="shared" si="11"/>
        <v>45431</v>
      </c>
      <c r="AD17" s="233" t="s">
        <v>31</v>
      </c>
      <c r="AE17" s="233" t="s">
        <v>31</v>
      </c>
      <c r="AF17" s="233" t="s">
        <v>286</v>
      </c>
      <c r="AH17" s="128" t="s">
        <v>387</v>
      </c>
      <c r="AI17" s="129" t="s">
        <v>392</v>
      </c>
      <c r="AJ17" s="3"/>
      <c r="AK17" s="130"/>
      <c r="AL17" s="130" t="s">
        <v>395</v>
      </c>
    </row>
    <row r="18" spans="1:38" ht="14.25" thickBot="1">
      <c r="A18" s="177">
        <f t="shared" si="16"/>
        <v>12</v>
      </c>
      <c r="B18" s="112">
        <v>45424</v>
      </c>
      <c r="C18" s="288">
        <v>2</v>
      </c>
      <c r="D18" s="164">
        <v>45445</v>
      </c>
      <c r="E18" s="165">
        <v>2</v>
      </c>
      <c r="F18" s="166" t="str">
        <f t="shared" si="0"/>
        <v>ディアス</v>
      </c>
      <c r="G18" s="167" t="str">
        <f t="shared" si="7"/>
        <v>A</v>
      </c>
      <c r="H18" s="283"/>
      <c r="I18" s="166" t="str">
        <f t="shared" si="1"/>
        <v>エンジェルス</v>
      </c>
      <c r="J18" s="280" t="str">
        <f t="shared" si="8"/>
        <v>C</v>
      </c>
      <c r="K18" s="283"/>
      <c r="L18" s="167">
        <f t="shared" si="15"/>
      </c>
      <c r="M18" s="143" t="s">
        <v>344</v>
      </c>
      <c r="N18" s="146" t="str">
        <f t="shared" si="3"/>
        <v>AC</v>
      </c>
      <c r="O18" s="146">
        <f>COUNTIF($N$7:N18,N18)</f>
        <v>2</v>
      </c>
      <c r="P18" s="146" t="str">
        <f t="shared" si="4"/>
        <v>AC2</v>
      </c>
      <c r="Q18" s="146" t="str">
        <f t="shared" si="5"/>
        <v>N</v>
      </c>
      <c r="R18" s="146">
        <f t="shared" si="12"/>
      </c>
      <c r="S18" s="146">
        <f t="shared" si="13"/>
      </c>
      <c r="T18" s="146">
        <f t="shared" si="14"/>
      </c>
      <c r="U18" s="158">
        <f t="shared" si="9"/>
        <v>12</v>
      </c>
      <c r="V18" s="148" t="str">
        <f t="shared" si="10"/>
        <v>1</v>
      </c>
      <c r="W18" s="149">
        <f t="shared" si="11"/>
        <v>45445</v>
      </c>
      <c r="Z18" s="559" t="s">
        <v>56</v>
      </c>
      <c r="AA18" s="559"/>
      <c r="AD18" s="233" t="s">
        <v>282</v>
      </c>
      <c r="AE18" s="233" t="s">
        <v>282</v>
      </c>
      <c r="AF18" s="233" t="s">
        <v>286</v>
      </c>
      <c r="AH18" s="131"/>
      <c r="AI18" s="132" t="str">
        <f>$Y$7</f>
        <v>A</v>
      </c>
      <c r="AJ18" s="133" t="str">
        <f>$Y$8</f>
        <v>B</v>
      </c>
      <c r="AK18" s="133" t="str">
        <f>$Y$9</f>
        <v>C</v>
      </c>
      <c r="AL18" s="187" t="str">
        <f>$Y$10</f>
        <v>D</v>
      </c>
    </row>
    <row r="19" spans="1:38" ht="15" thickBot="1" thickTop="1">
      <c r="A19" s="18">
        <f t="shared" si="16"/>
        <v>13</v>
      </c>
      <c r="B19" s="159">
        <v>45431</v>
      </c>
      <c r="C19" s="289">
        <v>1</v>
      </c>
      <c r="D19" s="160">
        <v>45452</v>
      </c>
      <c r="E19" s="161">
        <v>1</v>
      </c>
      <c r="F19" s="162" t="str">
        <f t="shared" si="0"/>
        <v>ディアス</v>
      </c>
      <c r="G19" s="163" t="str">
        <f t="shared" si="7"/>
        <v>A</v>
      </c>
      <c r="H19" s="284"/>
      <c r="I19" s="162" t="str">
        <f t="shared" si="1"/>
        <v>ベアーズ</v>
      </c>
      <c r="J19" s="281" t="str">
        <f t="shared" si="8"/>
        <v>B</v>
      </c>
      <c r="K19" s="284"/>
      <c r="L19" s="163">
        <f t="shared" si="15"/>
      </c>
      <c r="M19" s="143" t="s">
        <v>342</v>
      </c>
      <c r="N19" s="146" t="str">
        <f t="shared" si="3"/>
        <v>AB</v>
      </c>
      <c r="O19" s="146">
        <f>COUNTIF($N$7:N19,N19)</f>
        <v>3</v>
      </c>
      <c r="P19" s="146" t="str">
        <f t="shared" si="4"/>
        <v>AB3</v>
      </c>
      <c r="Q19" s="146" t="str">
        <f t="shared" si="5"/>
        <v>N</v>
      </c>
      <c r="R19" s="146">
        <f t="shared" si="12"/>
      </c>
      <c r="S19" s="146">
        <f t="shared" si="13"/>
      </c>
      <c r="T19" s="146">
        <f t="shared" si="14"/>
      </c>
      <c r="U19" s="158">
        <f t="shared" si="9"/>
        <v>13</v>
      </c>
      <c r="V19" s="148" t="str">
        <f t="shared" si="10"/>
        <v>1</v>
      </c>
      <c r="W19" s="149">
        <f t="shared" si="11"/>
        <v>45445</v>
      </c>
      <c r="Z19" s="38"/>
      <c r="AA19" s="38"/>
      <c r="AD19" s="233" t="s">
        <v>283</v>
      </c>
      <c r="AE19" s="233" t="s">
        <v>283</v>
      </c>
      <c r="AF19" s="233" t="s">
        <v>286</v>
      </c>
      <c r="AH19" s="134" t="str">
        <f>$Y$7</f>
        <v>A</v>
      </c>
      <c r="AI19" s="169"/>
      <c r="AJ19" s="155">
        <f>VLOOKUP("AB3",$P$7:$U$36,6,FALSE)</f>
        <v>13</v>
      </c>
      <c r="AK19" s="155">
        <f>VLOOKUP("AC3",$P$7:$U$36,6,FALSE)</f>
        <v>17</v>
      </c>
      <c r="AL19" s="192">
        <f>VLOOKUP("AD3",$P$7:$U$36,6,FALSE)</f>
        <v>16</v>
      </c>
    </row>
    <row r="20" spans="1:38" ht="14.25" thickBot="1">
      <c r="A20" s="18">
        <f t="shared" si="16"/>
        <v>14</v>
      </c>
      <c r="B20" s="159">
        <v>45431</v>
      </c>
      <c r="C20" s="287">
        <v>2</v>
      </c>
      <c r="D20" s="47">
        <v>45452</v>
      </c>
      <c r="E20" s="1">
        <v>2</v>
      </c>
      <c r="F20" s="145" t="str">
        <f t="shared" si="0"/>
        <v>エンジェルス</v>
      </c>
      <c r="G20" s="146" t="str">
        <f t="shared" si="7"/>
        <v>C</v>
      </c>
      <c r="H20" s="282"/>
      <c r="I20" s="145" t="str">
        <f t="shared" si="1"/>
        <v>サンデーズＪｒ</v>
      </c>
      <c r="J20" s="279" t="str">
        <f t="shared" si="8"/>
        <v>D</v>
      </c>
      <c r="K20" s="282"/>
      <c r="L20" s="146">
        <f t="shared" si="15"/>
      </c>
      <c r="M20" s="143" t="s">
        <v>454</v>
      </c>
      <c r="N20" s="146" t="str">
        <f t="shared" si="3"/>
        <v>CD</v>
      </c>
      <c r="O20" s="146">
        <f>COUNTIF($N$7:N20,N20)</f>
        <v>3</v>
      </c>
      <c r="P20" s="146" t="str">
        <f t="shared" si="4"/>
        <v>CD3</v>
      </c>
      <c r="Q20" s="146" t="str">
        <f t="shared" si="5"/>
        <v>N</v>
      </c>
      <c r="R20" s="146">
        <f t="shared" si="12"/>
      </c>
      <c r="S20" s="146">
        <f t="shared" si="13"/>
      </c>
      <c r="T20" s="146">
        <f t="shared" si="14"/>
      </c>
      <c r="U20" s="158">
        <f t="shared" si="9"/>
        <v>14</v>
      </c>
      <c r="V20" s="148" t="str">
        <f t="shared" si="10"/>
        <v>1</v>
      </c>
      <c r="W20" s="149">
        <f t="shared" si="11"/>
        <v>45452</v>
      </c>
      <c r="Z20" s="153" t="s">
        <v>58</v>
      </c>
      <c r="AA20" s="154" t="s">
        <v>59</v>
      </c>
      <c r="AD20" s="8" t="s">
        <v>287</v>
      </c>
      <c r="AE20" s="8" t="s">
        <v>292</v>
      </c>
      <c r="AF20" s="236" t="s">
        <v>430</v>
      </c>
      <c r="AH20" s="134" t="str">
        <f>$Y$8</f>
        <v>B</v>
      </c>
      <c r="AI20" s="168"/>
      <c r="AJ20" s="135"/>
      <c r="AK20" s="110">
        <f>VLOOKUP("BC3",$P$7:$U$36,6,FALSE)</f>
        <v>15</v>
      </c>
      <c r="AL20" s="188">
        <f>VLOOKUP("BD3",$P$7:$U$36,6,FALSE)</f>
        <v>18</v>
      </c>
    </row>
    <row r="21" spans="1:38" ht="13.5">
      <c r="A21" s="18">
        <f t="shared" si="16"/>
        <v>15</v>
      </c>
      <c r="B21" s="112">
        <v>45445</v>
      </c>
      <c r="C21" s="287">
        <v>1</v>
      </c>
      <c r="D21" s="47">
        <v>45459</v>
      </c>
      <c r="E21" s="1">
        <v>1</v>
      </c>
      <c r="F21" s="145" t="str">
        <f t="shared" si="0"/>
        <v>ベアーズ</v>
      </c>
      <c r="G21" s="146" t="str">
        <f t="shared" si="7"/>
        <v>B</v>
      </c>
      <c r="H21" s="282"/>
      <c r="I21" s="145" t="str">
        <f t="shared" si="1"/>
        <v>エンジェルス</v>
      </c>
      <c r="J21" s="279" t="str">
        <f t="shared" si="8"/>
        <v>C</v>
      </c>
      <c r="K21" s="282"/>
      <c r="L21" s="146">
        <f t="shared" si="15"/>
      </c>
      <c r="M21" s="143" t="s">
        <v>343</v>
      </c>
      <c r="N21" s="146" t="str">
        <f t="shared" si="3"/>
        <v>BC</v>
      </c>
      <c r="O21" s="146">
        <f>COUNTIF($N$7:N21,N21)</f>
        <v>3</v>
      </c>
      <c r="P21" s="146" t="str">
        <f t="shared" si="4"/>
        <v>BC3</v>
      </c>
      <c r="Q21" s="146" t="str">
        <f t="shared" si="5"/>
        <v>N</v>
      </c>
      <c r="R21" s="146">
        <f t="shared" si="12"/>
      </c>
      <c r="S21" s="146">
        <f t="shared" si="13"/>
      </c>
      <c r="T21" s="146">
        <f t="shared" si="14"/>
      </c>
      <c r="U21" s="158">
        <f t="shared" si="9"/>
        <v>15</v>
      </c>
      <c r="V21" s="148" t="str">
        <f t="shared" si="10"/>
        <v>1</v>
      </c>
      <c r="W21" s="149">
        <f t="shared" si="11"/>
        <v>45452</v>
      </c>
      <c r="Z21" s="111" t="s">
        <v>53</v>
      </c>
      <c r="AA21" s="109" t="s">
        <v>54</v>
      </c>
      <c r="AD21" s="8" t="s">
        <v>288</v>
      </c>
      <c r="AE21" s="8" t="s">
        <v>28</v>
      </c>
      <c r="AF21" s="236" t="s">
        <v>429</v>
      </c>
      <c r="AH21" s="134" t="str">
        <f>$Y$9</f>
        <v>C</v>
      </c>
      <c r="AI21" s="170"/>
      <c r="AJ21" s="136"/>
      <c r="AK21" s="135"/>
      <c r="AL21" s="188">
        <f>VLOOKUP("CD3",$P$7:$U$36,6,FALSE)</f>
        <v>14</v>
      </c>
    </row>
    <row r="22" spans="1:38" ht="14.25" thickBot="1">
      <c r="A22" s="18">
        <f t="shared" si="16"/>
        <v>16</v>
      </c>
      <c r="B22" s="112">
        <v>45445</v>
      </c>
      <c r="C22" s="287">
        <v>2</v>
      </c>
      <c r="D22" s="47">
        <v>45459</v>
      </c>
      <c r="E22" s="1">
        <v>2</v>
      </c>
      <c r="F22" s="145" t="str">
        <f t="shared" si="0"/>
        <v>ディアス</v>
      </c>
      <c r="G22" s="146" t="str">
        <f t="shared" si="7"/>
        <v>A</v>
      </c>
      <c r="H22" s="282"/>
      <c r="I22" s="145" t="str">
        <f t="shared" si="1"/>
        <v>サンデーズＪｒ</v>
      </c>
      <c r="J22" s="279" t="str">
        <f t="shared" si="8"/>
        <v>D</v>
      </c>
      <c r="K22" s="282"/>
      <c r="L22" s="146">
        <f t="shared" si="15"/>
      </c>
      <c r="M22" s="143" t="s">
        <v>372</v>
      </c>
      <c r="N22" s="146" t="str">
        <f t="shared" si="3"/>
        <v>AD</v>
      </c>
      <c r="O22" s="146">
        <f>COUNTIF($N$7:N22,N22)</f>
        <v>3</v>
      </c>
      <c r="P22" s="146" t="str">
        <f t="shared" si="4"/>
        <v>AD3</v>
      </c>
      <c r="Q22" s="146" t="str">
        <f t="shared" si="5"/>
        <v>N</v>
      </c>
      <c r="R22" s="146">
        <f t="shared" si="12"/>
      </c>
      <c r="S22" s="146">
        <f t="shared" si="13"/>
      </c>
      <c r="T22" s="146">
        <f t="shared" si="14"/>
      </c>
      <c r="U22" s="158">
        <f t="shared" si="9"/>
        <v>16</v>
      </c>
      <c r="V22" s="148" t="str">
        <f t="shared" si="10"/>
        <v>1</v>
      </c>
      <c r="W22" s="149">
        <f t="shared" si="11"/>
        <v>45459</v>
      </c>
      <c r="Z22" s="7" t="s">
        <v>57</v>
      </c>
      <c r="AA22" s="9" t="s">
        <v>57</v>
      </c>
      <c r="AD22" s="8" t="s">
        <v>289</v>
      </c>
      <c r="AE22" s="8" t="s">
        <v>289</v>
      </c>
      <c r="AF22" s="235" t="s">
        <v>428</v>
      </c>
      <c r="AH22" s="189" t="str">
        <f>$Y$10</f>
        <v>D</v>
      </c>
      <c r="AI22" s="193"/>
      <c r="AJ22" s="194"/>
      <c r="AK22" s="190"/>
      <c r="AL22" s="191"/>
    </row>
    <row r="23" spans="1:32" ht="14.25" thickBot="1">
      <c r="A23" s="18">
        <f t="shared" si="16"/>
        <v>17</v>
      </c>
      <c r="B23" s="112">
        <v>45452</v>
      </c>
      <c r="C23" s="287">
        <v>1</v>
      </c>
      <c r="D23" s="406">
        <v>45466</v>
      </c>
      <c r="E23" s="407">
        <v>1</v>
      </c>
      <c r="F23" s="145" t="str">
        <f t="shared" si="0"/>
        <v>エンジェルス</v>
      </c>
      <c r="G23" s="146" t="str">
        <f t="shared" si="7"/>
        <v>C</v>
      </c>
      <c r="H23" s="282"/>
      <c r="I23" s="145" t="str">
        <f t="shared" si="1"/>
        <v>ディアス</v>
      </c>
      <c r="J23" s="279" t="str">
        <f t="shared" si="8"/>
        <v>A</v>
      </c>
      <c r="K23" s="282"/>
      <c r="L23" s="146">
        <f t="shared" si="15"/>
      </c>
      <c r="M23" s="143" t="s">
        <v>455</v>
      </c>
      <c r="N23" s="146" t="str">
        <f t="shared" si="3"/>
        <v>AC</v>
      </c>
      <c r="O23" s="146">
        <f>COUNTIF($N$7:N23,N23)</f>
        <v>3</v>
      </c>
      <c r="P23" s="146" t="str">
        <f t="shared" si="4"/>
        <v>AC3</v>
      </c>
      <c r="Q23" s="146" t="str">
        <f t="shared" si="5"/>
        <v>Y</v>
      </c>
      <c r="R23" s="146">
        <f t="shared" si="12"/>
      </c>
      <c r="S23" s="146">
        <f t="shared" si="13"/>
      </c>
      <c r="T23" s="146">
        <f t="shared" si="14"/>
      </c>
      <c r="U23" s="158">
        <f t="shared" si="9"/>
        <v>17</v>
      </c>
      <c r="V23" s="148" t="str">
        <f t="shared" si="10"/>
        <v>1</v>
      </c>
      <c r="W23" s="149">
        <f t="shared" si="11"/>
        <v>45459</v>
      </c>
      <c r="Z23" s="11" t="s">
        <v>54</v>
      </c>
      <c r="AA23" s="12" t="s">
        <v>53</v>
      </c>
      <c r="AD23" s="233" t="s">
        <v>32</v>
      </c>
      <c r="AE23" s="233" t="s">
        <v>32</v>
      </c>
      <c r="AF23" s="233" t="s">
        <v>286</v>
      </c>
    </row>
    <row r="24" spans="1:38" ht="14.25" thickBot="1">
      <c r="A24" s="177">
        <f t="shared" si="16"/>
        <v>18</v>
      </c>
      <c r="B24" s="112">
        <v>45452</v>
      </c>
      <c r="C24" s="288">
        <v>2</v>
      </c>
      <c r="D24" s="408">
        <v>45466</v>
      </c>
      <c r="E24" s="409">
        <v>2</v>
      </c>
      <c r="F24" s="166" t="str">
        <f t="shared" si="0"/>
        <v>サンデーズＪｒ</v>
      </c>
      <c r="G24" s="167" t="str">
        <f t="shared" si="7"/>
        <v>D</v>
      </c>
      <c r="H24" s="283"/>
      <c r="I24" s="166" t="str">
        <f t="shared" si="1"/>
        <v>ベアーズ</v>
      </c>
      <c r="J24" s="280" t="str">
        <f t="shared" si="8"/>
        <v>B</v>
      </c>
      <c r="K24" s="283"/>
      <c r="L24" s="167">
        <f t="shared" si="15"/>
      </c>
      <c r="M24" s="143" t="s">
        <v>345</v>
      </c>
      <c r="N24" s="146" t="str">
        <f t="shared" si="3"/>
        <v>BD</v>
      </c>
      <c r="O24" s="146">
        <f>COUNTIF($N$7:N24,N24)</f>
        <v>3</v>
      </c>
      <c r="P24" s="146" t="str">
        <f t="shared" si="4"/>
        <v>BD3</v>
      </c>
      <c r="Q24" s="146" t="str">
        <f t="shared" si="5"/>
        <v>Y</v>
      </c>
      <c r="R24" s="146">
        <f t="shared" si="12"/>
      </c>
      <c r="S24" s="146">
        <f t="shared" si="13"/>
      </c>
      <c r="T24" s="146">
        <f t="shared" si="14"/>
      </c>
      <c r="U24" s="158">
        <f t="shared" si="9"/>
        <v>18</v>
      </c>
      <c r="V24" s="148" t="str">
        <f t="shared" si="10"/>
        <v>1</v>
      </c>
      <c r="W24" s="149">
        <f t="shared" si="11"/>
        <v>45466</v>
      </c>
      <c r="Z24" s="39"/>
      <c r="AA24" s="39"/>
      <c r="AD24" s="233" t="s">
        <v>33</v>
      </c>
      <c r="AE24" s="233" t="s">
        <v>33</v>
      </c>
      <c r="AF24" s="233" t="s">
        <v>286</v>
      </c>
      <c r="AH24" s="128" t="s">
        <v>388</v>
      </c>
      <c r="AI24" s="129" t="s">
        <v>393</v>
      </c>
      <c r="AJ24" s="3"/>
      <c r="AK24" s="130"/>
      <c r="AL24" s="130" t="s">
        <v>396</v>
      </c>
    </row>
    <row r="25" spans="1:38" ht="15" thickBot="1" thickTop="1">
      <c r="A25" s="18">
        <f t="shared" si="16"/>
        <v>19</v>
      </c>
      <c r="B25" s="159">
        <v>45459</v>
      </c>
      <c r="C25" s="289">
        <v>1</v>
      </c>
      <c r="D25" s="410">
        <v>45473</v>
      </c>
      <c r="E25" s="411">
        <v>1</v>
      </c>
      <c r="F25" s="162" t="str">
        <f t="shared" si="0"/>
        <v>サンデーズＪｒ</v>
      </c>
      <c r="G25" s="163" t="str">
        <f t="shared" si="7"/>
        <v>D</v>
      </c>
      <c r="H25" s="284"/>
      <c r="I25" s="162" t="str">
        <f t="shared" si="1"/>
        <v>エンジェルス</v>
      </c>
      <c r="J25" s="281" t="str">
        <f t="shared" si="8"/>
        <v>C</v>
      </c>
      <c r="K25" s="284"/>
      <c r="L25" s="163">
        <f t="shared" si="15"/>
      </c>
      <c r="M25" s="143" t="s">
        <v>346</v>
      </c>
      <c r="N25" s="146" t="str">
        <f t="shared" si="3"/>
        <v>CD</v>
      </c>
      <c r="O25" s="146">
        <f>COUNTIF($N$7:N25,N25)</f>
        <v>4</v>
      </c>
      <c r="P25" s="146" t="str">
        <f t="shared" si="4"/>
        <v>CD4</v>
      </c>
      <c r="Q25" s="146" t="str">
        <f t="shared" si="5"/>
        <v>Y</v>
      </c>
      <c r="R25" s="146">
        <f t="shared" si="12"/>
      </c>
      <c r="S25" s="146">
        <f t="shared" si="13"/>
      </c>
      <c r="T25" s="146">
        <f t="shared" si="14"/>
      </c>
      <c r="U25" s="158">
        <f t="shared" si="9"/>
        <v>19</v>
      </c>
      <c r="V25" s="148" t="str">
        <f t="shared" si="10"/>
        <v>1</v>
      </c>
      <c r="W25" s="149">
        <f t="shared" si="11"/>
        <v>45466</v>
      </c>
      <c r="Y25" s="2" t="s">
        <v>458</v>
      </c>
      <c r="Z25" s="127" t="s">
        <v>443</v>
      </c>
      <c r="AD25" s="233" t="s">
        <v>290</v>
      </c>
      <c r="AE25" s="233" t="s">
        <v>290</v>
      </c>
      <c r="AF25" s="233" t="s">
        <v>286</v>
      </c>
      <c r="AH25" s="131"/>
      <c r="AI25" s="132" t="str">
        <f>$Y$7</f>
        <v>A</v>
      </c>
      <c r="AJ25" s="133" t="str">
        <f>$Y$8</f>
        <v>B</v>
      </c>
      <c r="AK25" s="133" t="str">
        <f>$Y$9</f>
        <v>C</v>
      </c>
      <c r="AL25" s="187" t="str">
        <f>$Y$10</f>
        <v>D</v>
      </c>
    </row>
    <row r="26" spans="1:38" ht="13.5">
      <c r="A26" s="18">
        <f t="shared" si="16"/>
        <v>20</v>
      </c>
      <c r="B26" s="159">
        <v>45459</v>
      </c>
      <c r="C26" s="287">
        <v>2</v>
      </c>
      <c r="D26" s="406">
        <v>45473</v>
      </c>
      <c r="E26" s="407">
        <v>2</v>
      </c>
      <c r="F26" s="145" t="str">
        <f t="shared" si="0"/>
        <v>ベアーズ</v>
      </c>
      <c r="G26" s="146" t="str">
        <f t="shared" si="7"/>
        <v>B</v>
      </c>
      <c r="H26" s="282"/>
      <c r="I26" s="145" t="str">
        <f t="shared" si="1"/>
        <v>ディアス</v>
      </c>
      <c r="J26" s="279" t="str">
        <f t="shared" si="8"/>
        <v>A</v>
      </c>
      <c r="K26" s="282"/>
      <c r="L26" s="146">
        <f t="shared" si="15"/>
      </c>
      <c r="M26" s="143" t="s">
        <v>456</v>
      </c>
      <c r="N26" s="146" t="str">
        <f t="shared" si="3"/>
        <v>AB</v>
      </c>
      <c r="O26" s="146">
        <f>COUNTIF($N$7:N26,N26)</f>
        <v>4</v>
      </c>
      <c r="P26" s="146" t="str">
        <f t="shared" si="4"/>
        <v>AB4</v>
      </c>
      <c r="Q26" s="146" t="str">
        <f t="shared" si="5"/>
        <v>Y</v>
      </c>
      <c r="R26" s="146">
        <f t="shared" si="12"/>
      </c>
      <c r="S26" s="146">
        <f t="shared" si="13"/>
      </c>
      <c r="T26" s="146">
        <f t="shared" si="14"/>
      </c>
      <c r="U26" s="158">
        <f t="shared" si="9"/>
        <v>20</v>
      </c>
      <c r="V26" s="148" t="str">
        <f t="shared" si="10"/>
        <v>1</v>
      </c>
      <c r="W26" s="149">
        <f t="shared" si="11"/>
        <v>45473</v>
      </c>
      <c r="Y26" s="2" t="s">
        <v>459</v>
      </c>
      <c r="Z26" s="127" t="s">
        <v>441</v>
      </c>
      <c r="AD26" s="233" t="s">
        <v>291</v>
      </c>
      <c r="AE26" s="233" t="s">
        <v>291</v>
      </c>
      <c r="AF26" s="233" t="s">
        <v>286</v>
      </c>
      <c r="AH26" s="134" t="str">
        <f>$Y$7</f>
        <v>A</v>
      </c>
      <c r="AI26" s="169"/>
      <c r="AJ26" s="155">
        <f>VLOOKUP("AB4",$P$7:$U$36,6,FALSE)</f>
        <v>20</v>
      </c>
      <c r="AK26" s="155">
        <f>VLOOKUP("AC4",$P$7:$U$36,6,FALSE)</f>
        <v>24</v>
      </c>
      <c r="AL26" s="192">
        <f>VLOOKUP("AD4",$P$7:$U$36,6,FALSE)</f>
        <v>21</v>
      </c>
    </row>
    <row r="27" spans="1:38" ht="13.5">
      <c r="A27" s="18">
        <f t="shared" si="16"/>
        <v>21</v>
      </c>
      <c r="B27" s="112">
        <v>45466</v>
      </c>
      <c r="C27" s="287">
        <v>1</v>
      </c>
      <c r="D27" s="406">
        <v>45480</v>
      </c>
      <c r="E27" s="407">
        <v>1</v>
      </c>
      <c r="F27" s="145" t="str">
        <f t="shared" si="0"/>
        <v>サンデーズＪｒ</v>
      </c>
      <c r="G27" s="146" t="str">
        <f t="shared" si="7"/>
        <v>D</v>
      </c>
      <c r="H27" s="282"/>
      <c r="I27" s="145" t="str">
        <f t="shared" si="1"/>
        <v>ディアス</v>
      </c>
      <c r="J27" s="279" t="str">
        <f t="shared" si="8"/>
        <v>A</v>
      </c>
      <c r="K27" s="282"/>
      <c r="L27" s="146">
        <f t="shared" si="15"/>
      </c>
      <c r="M27" s="143" t="s">
        <v>348</v>
      </c>
      <c r="N27" s="146" t="str">
        <f t="shared" si="3"/>
        <v>AD</v>
      </c>
      <c r="O27" s="146">
        <f>COUNTIF($N$7:N27,N27)</f>
        <v>4</v>
      </c>
      <c r="P27" s="146" t="str">
        <f t="shared" si="4"/>
        <v>AD4</v>
      </c>
      <c r="Q27" s="146" t="str">
        <f t="shared" si="5"/>
        <v>Y</v>
      </c>
      <c r="R27" s="146">
        <f t="shared" si="12"/>
      </c>
      <c r="S27" s="146">
        <f t="shared" si="13"/>
      </c>
      <c r="T27" s="146">
        <f t="shared" si="14"/>
      </c>
      <c r="U27" s="158">
        <f t="shared" si="9"/>
        <v>21</v>
      </c>
      <c r="V27" s="148" t="str">
        <f t="shared" si="10"/>
        <v>1</v>
      </c>
      <c r="W27" s="149">
        <f t="shared" si="11"/>
        <v>45473</v>
      </c>
      <c r="Y27" s="2" t="s">
        <v>460</v>
      </c>
      <c r="Z27" s="152" t="s">
        <v>440</v>
      </c>
      <c r="AD27" s="8" t="s">
        <v>34</v>
      </c>
      <c r="AE27" s="8" t="s">
        <v>295</v>
      </c>
      <c r="AF27" s="236" t="s">
        <v>429</v>
      </c>
      <c r="AH27" s="134" t="str">
        <f>$Y$8</f>
        <v>B</v>
      </c>
      <c r="AI27" s="168"/>
      <c r="AJ27" s="135"/>
      <c r="AK27" s="110">
        <f>VLOOKUP("BC4",$P$7:$U$36,6,FALSE)</f>
        <v>22</v>
      </c>
      <c r="AL27" s="188">
        <f>VLOOKUP("BD4",$P$7:$U$36,6,FALSE)</f>
        <v>23</v>
      </c>
    </row>
    <row r="28" spans="1:38" ht="13.5">
      <c r="A28" s="18">
        <f t="shared" si="16"/>
        <v>22</v>
      </c>
      <c r="B28" s="112">
        <v>45466</v>
      </c>
      <c r="C28" s="287">
        <v>2</v>
      </c>
      <c r="D28" s="406">
        <v>45480</v>
      </c>
      <c r="E28" s="407">
        <v>2</v>
      </c>
      <c r="F28" s="145" t="str">
        <f t="shared" si="0"/>
        <v>エンジェルス</v>
      </c>
      <c r="G28" s="146" t="str">
        <f t="shared" si="7"/>
        <v>C</v>
      </c>
      <c r="H28" s="282"/>
      <c r="I28" s="145" t="str">
        <f t="shared" si="1"/>
        <v>ベアーズ</v>
      </c>
      <c r="J28" s="279" t="str">
        <f t="shared" si="8"/>
        <v>B</v>
      </c>
      <c r="K28" s="282"/>
      <c r="L28" s="146">
        <f t="shared" si="15"/>
      </c>
      <c r="M28" s="143" t="s">
        <v>347</v>
      </c>
      <c r="N28" s="146" t="str">
        <f t="shared" si="3"/>
        <v>BC</v>
      </c>
      <c r="O28" s="146">
        <f>COUNTIF($N$7:N28,N28)</f>
        <v>4</v>
      </c>
      <c r="P28" s="146" t="str">
        <f t="shared" si="4"/>
        <v>BC4</v>
      </c>
      <c r="Q28" s="146" t="str">
        <f t="shared" si="5"/>
        <v>Y</v>
      </c>
      <c r="R28" s="146">
        <f t="shared" si="12"/>
      </c>
      <c r="S28" s="146">
        <f t="shared" si="13"/>
      </c>
      <c r="T28" s="146">
        <f t="shared" si="14"/>
      </c>
      <c r="U28" s="158">
        <f t="shared" si="9"/>
        <v>22</v>
      </c>
      <c r="V28" s="148" t="str">
        <f t="shared" si="10"/>
        <v>1</v>
      </c>
      <c r="W28" s="149">
        <f t="shared" si="11"/>
        <v>45480</v>
      </c>
      <c r="Y28" s="395" t="s">
        <v>462</v>
      </c>
      <c r="Z28" s="127" t="s">
        <v>439</v>
      </c>
      <c r="AD28" s="8" t="s">
        <v>35</v>
      </c>
      <c r="AE28" s="8" t="s">
        <v>296</v>
      </c>
      <c r="AF28" s="236" t="s">
        <v>429</v>
      </c>
      <c r="AH28" s="134" t="str">
        <f>$Y$9</f>
        <v>C</v>
      </c>
      <c r="AI28" s="170"/>
      <c r="AJ28" s="136"/>
      <c r="AK28" s="135"/>
      <c r="AL28" s="188">
        <f>VLOOKUP("CD4",$P$7:$U$36,6,FALSE)</f>
        <v>19</v>
      </c>
    </row>
    <row r="29" spans="1:38" ht="14.25" thickBot="1">
      <c r="A29" s="18">
        <f t="shared" si="16"/>
        <v>23</v>
      </c>
      <c r="B29" s="112">
        <v>45473</v>
      </c>
      <c r="C29" s="287">
        <v>1</v>
      </c>
      <c r="D29" s="406">
        <v>45487</v>
      </c>
      <c r="E29" s="407">
        <v>1</v>
      </c>
      <c r="F29" s="145" t="str">
        <f t="shared" si="0"/>
        <v>ベアーズ</v>
      </c>
      <c r="G29" s="146" t="str">
        <f t="shared" si="7"/>
        <v>B</v>
      </c>
      <c r="H29" s="282"/>
      <c r="I29" s="145" t="str">
        <f t="shared" si="1"/>
        <v>サンデーズＪｒ</v>
      </c>
      <c r="J29" s="279" t="str">
        <f t="shared" si="8"/>
        <v>D</v>
      </c>
      <c r="K29" s="282"/>
      <c r="L29" s="146">
        <f t="shared" si="15"/>
      </c>
      <c r="M29" s="143" t="s">
        <v>457</v>
      </c>
      <c r="N29" s="146" t="str">
        <f t="shared" si="3"/>
        <v>BD</v>
      </c>
      <c r="O29" s="146">
        <f>COUNTIF($N$7:N29,N29)</f>
        <v>4</v>
      </c>
      <c r="P29" s="146" t="str">
        <f t="shared" si="4"/>
        <v>BD4</v>
      </c>
      <c r="Q29" s="146" t="str">
        <f t="shared" si="5"/>
        <v>N</v>
      </c>
      <c r="R29" s="146">
        <f t="shared" si="12"/>
      </c>
      <c r="S29" s="146">
        <f t="shared" si="13"/>
      </c>
      <c r="T29" s="146">
        <f t="shared" si="14"/>
      </c>
      <c r="U29" s="158">
        <f t="shared" si="9"/>
        <v>23</v>
      </c>
      <c r="V29" s="148" t="str">
        <f t="shared" si="10"/>
        <v>1</v>
      </c>
      <c r="W29" s="149">
        <f t="shared" si="11"/>
        <v>45480</v>
      </c>
      <c r="Y29" s="44" t="s">
        <v>461</v>
      </c>
      <c r="AD29" s="8" t="s">
        <v>36</v>
      </c>
      <c r="AE29" s="8" t="s">
        <v>289</v>
      </c>
      <c r="AF29" s="236" t="s">
        <v>429</v>
      </c>
      <c r="AH29" s="189" t="str">
        <f>$Y$10</f>
        <v>D</v>
      </c>
      <c r="AI29" s="193"/>
      <c r="AJ29" s="194"/>
      <c r="AK29" s="190"/>
      <c r="AL29" s="191"/>
    </row>
    <row r="30" spans="1:32" ht="14.25" thickBot="1">
      <c r="A30" s="177">
        <f t="shared" si="16"/>
        <v>24</v>
      </c>
      <c r="B30" s="112">
        <v>45473</v>
      </c>
      <c r="C30" s="288">
        <v>2</v>
      </c>
      <c r="D30" s="408">
        <v>45487</v>
      </c>
      <c r="E30" s="409">
        <v>2</v>
      </c>
      <c r="F30" s="166" t="str">
        <f t="shared" si="0"/>
        <v>ディアス</v>
      </c>
      <c r="G30" s="167" t="str">
        <f t="shared" si="7"/>
        <v>A</v>
      </c>
      <c r="H30" s="283"/>
      <c r="I30" s="166" t="str">
        <f t="shared" si="1"/>
        <v>エンジェルス</v>
      </c>
      <c r="J30" s="280" t="str">
        <f t="shared" si="8"/>
        <v>C</v>
      </c>
      <c r="K30" s="283"/>
      <c r="L30" s="167">
        <f t="shared" si="15"/>
      </c>
      <c r="M30" s="143" t="s">
        <v>344</v>
      </c>
      <c r="N30" s="146" t="str">
        <f t="shared" si="3"/>
        <v>AC</v>
      </c>
      <c r="O30" s="146">
        <f>COUNTIF($N$7:N30,N30)</f>
        <v>4</v>
      </c>
      <c r="P30" s="146" t="str">
        <f t="shared" si="4"/>
        <v>AC4</v>
      </c>
      <c r="Q30" s="146" t="str">
        <f t="shared" si="5"/>
        <v>N</v>
      </c>
      <c r="R30" s="146">
        <f t="shared" si="12"/>
      </c>
      <c r="S30" s="146">
        <f t="shared" si="13"/>
      </c>
      <c r="T30" s="146">
        <f t="shared" si="14"/>
      </c>
      <c r="U30" s="158">
        <f t="shared" si="9"/>
        <v>24</v>
      </c>
      <c r="V30" s="148" t="str">
        <f t="shared" si="10"/>
        <v>1</v>
      </c>
      <c r="W30" s="149">
        <f t="shared" si="11"/>
        <v>45487</v>
      </c>
      <c r="AD30" s="233" t="s">
        <v>37</v>
      </c>
      <c r="AE30" s="233" t="s">
        <v>37</v>
      </c>
      <c r="AF30" s="233" t="s">
        <v>286</v>
      </c>
    </row>
    <row r="31" spans="1:38" ht="15" thickBot="1" thickTop="1">
      <c r="A31" s="18">
        <f t="shared" si="16"/>
        <v>25</v>
      </c>
      <c r="B31" s="159">
        <v>45480</v>
      </c>
      <c r="C31" s="289">
        <v>1</v>
      </c>
      <c r="D31" s="410">
        <v>45536</v>
      </c>
      <c r="E31" s="411">
        <v>1</v>
      </c>
      <c r="F31" s="162" t="str">
        <f t="shared" si="0"/>
        <v>ディアス</v>
      </c>
      <c r="G31" s="163" t="str">
        <f t="shared" si="7"/>
        <v>A</v>
      </c>
      <c r="H31" s="284"/>
      <c r="I31" s="162" t="str">
        <f t="shared" si="1"/>
        <v>ベアーズ</v>
      </c>
      <c r="J31" s="281" t="str">
        <f t="shared" si="8"/>
        <v>B</v>
      </c>
      <c r="K31" s="284"/>
      <c r="L31" s="163">
        <f t="shared" si="15"/>
      </c>
      <c r="M31" s="143" t="s">
        <v>342</v>
      </c>
      <c r="N31" s="146" t="str">
        <f t="shared" si="3"/>
        <v>AB</v>
      </c>
      <c r="O31" s="146">
        <f>COUNTIF($N$7:N31,N31)</f>
        <v>5</v>
      </c>
      <c r="P31" s="146" t="str">
        <f t="shared" si="4"/>
        <v>AB5</v>
      </c>
      <c r="Q31" s="146" t="str">
        <f t="shared" si="5"/>
        <v>N</v>
      </c>
      <c r="R31" s="146">
        <f t="shared" si="12"/>
      </c>
      <c r="S31" s="146">
        <f t="shared" si="13"/>
      </c>
      <c r="T31" s="146">
        <f t="shared" si="14"/>
      </c>
      <c r="U31" s="158">
        <f t="shared" si="9"/>
        <v>25</v>
      </c>
      <c r="V31" s="148" t="str">
        <f t="shared" si="10"/>
        <v>1</v>
      </c>
      <c r="W31" s="149">
        <f t="shared" si="11"/>
        <v>45487</v>
      </c>
      <c r="AD31" s="233" t="s">
        <v>38</v>
      </c>
      <c r="AE31" s="233" t="s">
        <v>38</v>
      </c>
      <c r="AF31" s="233" t="s">
        <v>286</v>
      </c>
      <c r="AH31" s="128" t="s">
        <v>389</v>
      </c>
      <c r="AI31" s="129" t="s">
        <v>394</v>
      </c>
      <c r="AJ31" s="3"/>
      <c r="AK31" s="130"/>
      <c r="AL31" s="130" t="s">
        <v>397</v>
      </c>
    </row>
    <row r="32" spans="1:38" ht="14.25" thickBot="1">
      <c r="A32" s="18">
        <f t="shared" si="16"/>
        <v>26</v>
      </c>
      <c r="B32" s="159">
        <v>45480</v>
      </c>
      <c r="C32" s="287">
        <v>2</v>
      </c>
      <c r="D32" s="406">
        <v>45536</v>
      </c>
      <c r="E32" s="407">
        <v>2</v>
      </c>
      <c r="F32" s="145" t="str">
        <f t="shared" si="0"/>
        <v>エンジェルス</v>
      </c>
      <c r="G32" s="146" t="str">
        <f t="shared" si="7"/>
        <v>C</v>
      </c>
      <c r="H32" s="282"/>
      <c r="I32" s="145" t="str">
        <f t="shared" si="1"/>
        <v>サンデーズＪｒ</v>
      </c>
      <c r="J32" s="279" t="str">
        <f t="shared" si="8"/>
        <v>D</v>
      </c>
      <c r="K32" s="282"/>
      <c r="L32" s="146">
        <f t="shared" si="15"/>
      </c>
      <c r="M32" s="143" t="s">
        <v>454</v>
      </c>
      <c r="N32" s="146" t="str">
        <f t="shared" si="3"/>
        <v>CD</v>
      </c>
      <c r="O32" s="146">
        <f>COUNTIF($N$7:N32,N32)</f>
        <v>5</v>
      </c>
      <c r="P32" s="146" t="str">
        <f t="shared" si="4"/>
        <v>CD5</v>
      </c>
      <c r="Q32" s="146" t="str">
        <f t="shared" si="5"/>
        <v>N</v>
      </c>
      <c r="R32" s="146">
        <f t="shared" si="12"/>
      </c>
      <c r="S32" s="146">
        <f t="shared" si="13"/>
      </c>
      <c r="T32" s="146">
        <f t="shared" si="14"/>
      </c>
      <c r="U32" s="158">
        <f t="shared" si="9"/>
        <v>26</v>
      </c>
      <c r="V32" s="148" t="str">
        <f t="shared" si="10"/>
        <v>1</v>
      </c>
      <c r="W32" s="149">
        <f t="shared" si="11"/>
        <v>45536</v>
      </c>
      <c r="AD32" s="233" t="s">
        <v>293</v>
      </c>
      <c r="AE32" s="233" t="s">
        <v>293</v>
      </c>
      <c r="AF32" s="233" t="s">
        <v>286</v>
      </c>
      <c r="AH32" s="131"/>
      <c r="AI32" s="132" t="str">
        <f>$Y$7</f>
        <v>A</v>
      </c>
      <c r="AJ32" s="133" t="str">
        <f>$Y$8</f>
        <v>B</v>
      </c>
      <c r="AK32" s="133" t="str">
        <f>$Y$9</f>
        <v>C</v>
      </c>
      <c r="AL32" s="187" t="str">
        <f>$Y$10</f>
        <v>D</v>
      </c>
    </row>
    <row r="33" spans="1:38" ht="13.5">
      <c r="A33" s="18">
        <f t="shared" si="16"/>
        <v>27</v>
      </c>
      <c r="B33" s="112">
        <v>45487</v>
      </c>
      <c r="C33" s="287">
        <v>1</v>
      </c>
      <c r="D33" s="390">
        <v>45543</v>
      </c>
      <c r="E33" s="391">
        <v>1</v>
      </c>
      <c r="F33" s="145" t="str">
        <f t="shared" si="0"/>
        <v>ベアーズ</v>
      </c>
      <c r="G33" s="146" t="str">
        <f t="shared" si="7"/>
        <v>B</v>
      </c>
      <c r="H33" s="282"/>
      <c r="I33" s="145" t="str">
        <f t="shared" si="1"/>
        <v>エンジェルス</v>
      </c>
      <c r="J33" s="279" t="str">
        <f t="shared" si="8"/>
        <v>C</v>
      </c>
      <c r="K33" s="282"/>
      <c r="L33" s="146">
        <f t="shared" si="15"/>
      </c>
      <c r="M33" s="143" t="s">
        <v>343</v>
      </c>
      <c r="N33" s="146" t="str">
        <f t="shared" si="3"/>
        <v>BC</v>
      </c>
      <c r="O33" s="146">
        <f>COUNTIF($N$7:N33,N33)</f>
        <v>5</v>
      </c>
      <c r="P33" s="146" t="str">
        <f t="shared" si="4"/>
        <v>BC5</v>
      </c>
      <c r="Q33" s="146" t="str">
        <f t="shared" si="5"/>
        <v>N</v>
      </c>
      <c r="R33" s="146">
        <f t="shared" si="12"/>
      </c>
      <c r="S33" s="146">
        <f t="shared" si="13"/>
      </c>
      <c r="T33" s="146">
        <f t="shared" si="14"/>
      </c>
      <c r="U33" s="158">
        <f t="shared" si="9"/>
        <v>27</v>
      </c>
      <c r="V33" s="148" t="str">
        <f t="shared" si="10"/>
        <v>1</v>
      </c>
      <c r="W33" s="149">
        <f t="shared" si="11"/>
        <v>45536</v>
      </c>
      <c r="AD33" s="233" t="s">
        <v>294</v>
      </c>
      <c r="AE33" s="233" t="s">
        <v>294</v>
      </c>
      <c r="AF33" s="233" t="s">
        <v>286</v>
      </c>
      <c r="AH33" s="134" t="str">
        <f>$Y$7</f>
        <v>A</v>
      </c>
      <c r="AI33" s="169"/>
      <c r="AJ33" s="155">
        <f>VLOOKUP("AB5",$P$7:$U$36,6,FALSE)</f>
        <v>25</v>
      </c>
      <c r="AK33" s="155">
        <f>VLOOKUP("AC5",$P$7:$U$36,6,FALSE)</f>
        <v>29</v>
      </c>
      <c r="AL33" s="192">
        <f>VLOOKUP("AD5",$P$7:$U$36,6,FALSE)</f>
        <v>28</v>
      </c>
    </row>
    <row r="34" spans="1:38" ht="13.5">
      <c r="A34" s="18">
        <f t="shared" si="16"/>
        <v>28</v>
      </c>
      <c r="B34" s="112">
        <v>45487</v>
      </c>
      <c r="C34" s="287">
        <v>2</v>
      </c>
      <c r="D34" s="390">
        <v>45543</v>
      </c>
      <c r="E34" s="391">
        <v>2</v>
      </c>
      <c r="F34" s="145" t="str">
        <f t="shared" si="0"/>
        <v>ディアス</v>
      </c>
      <c r="G34" s="146" t="str">
        <f t="shared" si="7"/>
        <v>A</v>
      </c>
      <c r="H34" s="282"/>
      <c r="I34" s="145" t="str">
        <f t="shared" si="1"/>
        <v>サンデーズＪｒ</v>
      </c>
      <c r="J34" s="279" t="str">
        <f t="shared" si="8"/>
        <v>D</v>
      </c>
      <c r="K34" s="282"/>
      <c r="L34" s="146">
        <f t="shared" si="15"/>
      </c>
      <c r="M34" s="143" t="s">
        <v>372</v>
      </c>
      <c r="N34" s="146" t="str">
        <f t="shared" si="3"/>
        <v>AD</v>
      </c>
      <c r="O34" s="146">
        <f>COUNTIF($N$7:N34,N34)</f>
        <v>5</v>
      </c>
      <c r="P34" s="146" t="str">
        <f t="shared" si="4"/>
        <v>AD5</v>
      </c>
      <c r="Q34" s="146" t="str">
        <f t="shared" si="5"/>
        <v>N</v>
      </c>
      <c r="R34" s="146">
        <f t="shared" si="12"/>
      </c>
      <c r="S34" s="146">
        <f t="shared" si="13"/>
      </c>
      <c r="T34" s="146">
        <f t="shared" si="14"/>
      </c>
      <c r="U34" s="158">
        <f t="shared" si="9"/>
        <v>28</v>
      </c>
      <c r="V34" s="148" t="str">
        <f t="shared" si="10"/>
        <v>1</v>
      </c>
      <c r="W34" s="149">
        <f t="shared" si="11"/>
        <v>45543</v>
      </c>
      <c r="AD34" s="233" t="s">
        <v>39</v>
      </c>
      <c r="AE34" s="233" t="s">
        <v>299</v>
      </c>
      <c r="AF34" s="233" t="s">
        <v>285</v>
      </c>
      <c r="AH34" s="134" t="str">
        <f>$Y$8</f>
        <v>B</v>
      </c>
      <c r="AI34" s="168"/>
      <c r="AJ34" s="135"/>
      <c r="AK34" s="110">
        <f>VLOOKUP("BC5",$P$7:$U$36,6,FALSE)</f>
        <v>27</v>
      </c>
      <c r="AL34" s="188">
        <f>VLOOKUP("BD5",$P$7:$U$36,6,FALSE)</f>
        <v>30</v>
      </c>
    </row>
    <row r="35" spans="1:38" ht="13.5">
      <c r="A35" s="18">
        <f t="shared" si="16"/>
        <v>29</v>
      </c>
      <c r="B35" s="159">
        <v>45536</v>
      </c>
      <c r="C35" s="289">
        <v>1</v>
      </c>
      <c r="D35" s="390">
        <v>45550</v>
      </c>
      <c r="E35" s="392">
        <v>1</v>
      </c>
      <c r="F35" s="162" t="str">
        <f t="shared" si="0"/>
        <v>エンジェルス</v>
      </c>
      <c r="G35" s="163" t="str">
        <f t="shared" si="7"/>
        <v>C</v>
      </c>
      <c r="H35" s="284"/>
      <c r="I35" s="162" t="str">
        <f t="shared" si="1"/>
        <v>ディアス</v>
      </c>
      <c r="J35" s="281" t="str">
        <f t="shared" si="8"/>
        <v>A</v>
      </c>
      <c r="K35" s="284"/>
      <c r="L35" s="163">
        <f t="shared" si="15"/>
      </c>
      <c r="M35" s="143" t="s">
        <v>455</v>
      </c>
      <c r="N35" s="146" t="str">
        <f t="shared" si="3"/>
        <v>AC</v>
      </c>
      <c r="O35" s="146">
        <f>COUNTIF($N$7:N35,N35)</f>
        <v>5</v>
      </c>
      <c r="P35" s="146" t="str">
        <f t="shared" si="4"/>
        <v>AC5</v>
      </c>
      <c r="Q35" s="146" t="str">
        <f t="shared" si="5"/>
        <v>Y</v>
      </c>
      <c r="R35" s="146">
        <f t="shared" si="12"/>
      </c>
      <c r="S35" s="146">
        <f t="shared" si="13"/>
      </c>
      <c r="T35" s="146">
        <f t="shared" si="14"/>
      </c>
      <c r="U35" s="158">
        <f t="shared" si="9"/>
        <v>29</v>
      </c>
      <c r="V35" s="148" t="str">
        <f t="shared" si="10"/>
        <v>1</v>
      </c>
      <c r="W35" s="149">
        <f t="shared" si="11"/>
        <v>45543</v>
      </c>
      <c r="AD35" s="233" t="s">
        <v>40</v>
      </c>
      <c r="AE35" s="233" t="s">
        <v>300</v>
      </c>
      <c r="AF35" s="233" t="s">
        <v>285</v>
      </c>
      <c r="AH35" s="299" t="str">
        <f>$Y$9</f>
        <v>C</v>
      </c>
      <c r="AI35" s="170"/>
      <c r="AJ35" s="136"/>
      <c r="AK35" s="300"/>
      <c r="AL35" s="301">
        <f>VLOOKUP("CD5",$P$7:$U$36,6,FALSE)</f>
        <v>26</v>
      </c>
    </row>
    <row r="36" spans="1:38" ht="14.25" thickBot="1">
      <c r="A36" s="177">
        <f t="shared" si="16"/>
        <v>30</v>
      </c>
      <c r="B36" s="159">
        <v>45536</v>
      </c>
      <c r="C36" s="288">
        <v>2</v>
      </c>
      <c r="D36" s="394">
        <v>45550</v>
      </c>
      <c r="E36" s="393">
        <v>2</v>
      </c>
      <c r="F36" s="166" t="str">
        <f t="shared" si="0"/>
        <v>サンデーズＪｒ</v>
      </c>
      <c r="G36" s="167" t="str">
        <f t="shared" si="7"/>
        <v>D</v>
      </c>
      <c r="H36" s="283"/>
      <c r="I36" s="166" t="str">
        <f t="shared" si="1"/>
        <v>ベアーズ</v>
      </c>
      <c r="J36" s="280" t="str">
        <f t="shared" si="8"/>
        <v>B</v>
      </c>
      <c r="K36" s="283"/>
      <c r="L36" s="167">
        <f t="shared" si="15"/>
      </c>
      <c r="M36" s="286" t="s">
        <v>345</v>
      </c>
      <c r="N36" s="146" t="str">
        <f t="shared" si="3"/>
        <v>BD</v>
      </c>
      <c r="O36" s="146">
        <f>COUNTIF($N$7:N36,N36)</f>
        <v>5</v>
      </c>
      <c r="P36" s="146" t="str">
        <f t="shared" si="4"/>
        <v>BD5</v>
      </c>
      <c r="Q36" s="146" t="str">
        <f t="shared" si="5"/>
        <v>Y</v>
      </c>
      <c r="R36" s="146">
        <f t="shared" si="12"/>
      </c>
      <c r="S36" s="146">
        <f t="shared" si="13"/>
      </c>
      <c r="T36" s="146">
        <f t="shared" si="14"/>
      </c>
      <c r="U36" s="158">
        <f t="shared" si="9"/>
        <v>30</v>
      </c>
      <c r="V36" s="148" t="str">
        <f t="shared" si="10"/>
        <v>1</v>
      </c>
      <c r="W36" s="149">
        <f t="shared" si="11"/>
        <v>45550</v>
      </c>
      <c r="AD36" s="233" t="s">
        <v>41</v>
      </c>
      <c r="AE36" s="233" t="s">
        <v>301</v>
      </c>
      <c r="AF36" s="233" t="s">
        <v>285</v>
      </c>
      <c r="AH36" s="189" t="str">
        <f>$Y$10</f>
        <v>D</v>
      </c>
      <c r="AI36" s="193"/>
      <c r="AJ36" s="194"/>
      <c r="AK36" s="190"/>
      <c r="AL36" s="191"/>
    </row>
    <row r="37" spans="2:39" ht="14.25" thickTop="1">
      <c r="B37" s="80"/>
      <c r="G37" s="3" t="s">
        <v>445</v>
      </c>
      <c r="H37" s="81"/>
      <c r="J37" s="3" t="s">
        <v>446</v>
      </c>
      <c r="K37" s="81"/>
      <c r="V37" s="148" t="str">
        <f>IF(AND(H37&lt;&gt;"",K37&lt;&gt;""),"0","1")</f>
        <v>1</v>
      </c>
      <c r="W37" s="149" t="s">
        <v>249</v>
      </c>
      <c r="X37" s="2" t="s">
        <v>250</v>
      </c>
      <c r="AD37" s="233" t="s">
        <v>42</v>
      </c>
      <c r="AE37" s="233" t="s">
        <v>302</v>
      </c>
      <c r="AF37" s="233" t="s">
        <v>285</v>
      </c>
      <c r="AG37" s="44"/>
      <c r="AH37" s="44"/>
      <c r="AI37" s="44"/>
      <c r="AJ37" s="44"/>
      <c r="AK37" s="44"/>
      <c r="AL37" s="44"/>
      <c r="AM37" s="44"/>
    </row>
    <row r="38" spans="2:39" ht="16.5">
      <c r="B38" s="80"/>
      <c r="H38" s="573" t="s">
        <v>467</v>
      </c>
      <c r="I38" s="573"/>
      <c r="K38" s="81"/>
      <c r="AD38" s="233" t="s">
        <v>43</v>
      </c>
      <c r="AE38" s="233" t="s">
        <v>43</v>
      </c>
      <c r="AF38" s="233" t="s">
        <v>286</v>
      </c>
      <c r="AG38" s="44"/>
      <c r="AH38" s="294"/>
      <c r="AI38" s="295"/>
      <c r="AJ38" s="40"/>
      <c r="AK38" s="296"/>
      <c r="AL38" s="296"/>
      <c r="AM38" s="44"/>
    </row>
    <row r="39" spans="2:39" ht="13.5">
      <c r="B39" s="80"/>
      <c r="H39" s="563" t="s">
        <v>447</v>
      </c>
      <c r="I39" s="564"/>
      <c r="K39" s="81"/>
      <c r="AD39" s="233" t="s">
        <v>297</v>
      </c>
      <c r="AE39" s="233" t="s">
        <v>297</v>
      </c>
      <c r="AF39" s="233" t="s">
        <v>286</v>
      </c>
      <c r="AG39" s="44"/>
      <c r="AH39" s="40"/>
      <c r="AI39" s="40"/>
      <c r="AJ39" s="40"/>
      <c r="AK39" s="40"/>
      <c r="AL39" s="40"/>
      <c r="AM39" s="44"/>
    </row>
    <row r="40" spans="2:39" ht="14.25" thickBot="1">
      <c r="B40" s="39"/>
      <c r="E40" s="568" t="s">
        <v>352</v>
      </c>
      <c r="F40" s="568"/>
      <c r="G40" s="137"/>
      <c r="H40" s="565"/>
      <c r="I40" s="565"/>
      <c r="J40" s="137"/>
      <c r="AD40" s="233" t="s">
        <v>298</v>
      </c>
      <c r="AE40" s="233" t="s">
        <v>298</v>
      </c>
      <c r="AF40" s="233" t="s">
        <v>286</v>
      </c>
      <c r="AG40" s="44"/>
      <c r="AH40" s="40"/>
      <c r="AI40" s="40"/>
      <c r="AJ40" s="40"/>
      <c r="AK40" s="40"/>
      <c r="AL40" s="40"/>
      <c r="AM40" s="44"/>
    </row>
    <row r="41" spans="5:39" ht="14.25" thickBot="1">
      <c r="E41" s="138" t="s">
        <v>6</v>
      </c>
      <c r="F41" s="139" t="s">
        <v>68</v>
      </c>
      <c r="G41" s="139" t="s">
        <v>339</v>
      </c>
      <c r="H41" s="140"/>
      <c r="I41" s="141"/>
      <c r="J41" s="139" t="s">
        <v>340</v>
      </c>
      <c r="K41" s="142" t="s">
        <v>363</v>
      </c>
      <c r="AD41" s="233" t="s">
        <v>44</v>
      </c>
      <c r="AE41" s="233" t="s">
        <v>305</v>
      </c>
      <c r="AF41" s="233" t="s">
        <v>285</v>
      </c>
      <c r="AG41" s="44"/>
      <c r="AH41" s="40"/>
      <c r="AI41" s="40"/>
      <c r="AJ41" s="40"/>
      <c r="AK41" s="40"/>
      <c r="AL41" s="40"/>
      <c r="AM41" s="44"/>
    </row>
    <row r="42" spans="5:39" ht="13.5">
      <c r="E42" s="302" t="str">
        <f aca="true" t="shared" si="17" ref="E42:E49">Y7</f>
        <v>A</v>
      </c>
      <c r="F42" s="303" t="str">
        <f>VLOOKUP(E42,$Y$7:$Z$14,2,FALSE)</f>
        <v>ディアス</v>
      </c>
      <c r="G42" s="304">
        <f aca="true" t="shared" si="18" ref="G42:G49">COUNTIF($G$7:$G$36,E42)</f>
        <v>8</v>
      </c>
      <c r="H42" s="305"/>
      <c r="I42" s="306"/>
      <c r="J42" s="304">
        <f aca="true" t="shared" si="19" ref="J42:J49">COUNTIF($J$7:$J$36,E42)</f>
        <v>7</v>
      </c>
      <c r="K42" s="307">
        <f>G42+J42</f>
        <v>15</v>
      </c>
      <c r="AD42" s="233" t="s">
        <v>45</v>
      </c>
      <c r="AE42" s="233" t="s">
        <v>306</v>
      </c>
      <c r="AF42" s="233" t="s">
        <v>285</v>
      </c>
      <c r="AG42" s="44"/>
      <c r="AH42" s="40"/>
      <c r="AI42" s="40"/>
      <c r="AJ42" s="40"/>
      <c r="AK42" s="40"/>
      <c r="AL42" s="40"/>
      <c r="AM42" s="44"/>
    </row>
    <row r="43" spans="5:39" ht="13.5">
      <c r="E43" s="308" t="str">
        <f t="shared" si="17"/>
        <v>B</v>
      </c>
      <c r="F43" s="309" t="str">
        <f aca="true" t="shared" si="20" ref="F43:F49">VLOOKUP(E43,$Y$7:$Z$14,2,FALSE)</f>
        <v>ベアーズ</v>
      </c>
      <c r="G43" s="310">
        <f t="shared" si="18"/>
        <v>7</v>
      </c>
      <c r="H43" s="311"/>
      <c r="I43" s="312"/>
      <c r="J43" s="310">
        <f t="shared" si="19"/>
        <v>8</v>
      </c>
      <c r="K43" s="313">
        <f aca="true" t="shared" si="21" ref="K43:K49">G43+J43</f>
        <v>15</v>
      </c>
      <c r="AD43" s="233" t="s">
        <v>46</v>
      </c>
      <c r="AE43" s="233" t="s">
        <v>307</v>
      </c>
      <c r="AF43" s="233" t="s">
        <v>285</v>
      </c>
      <c r="AG43" s="44"/>
      <c r="AH43" s="40"/>
      <c r="AI43" s="40"/>
      <c r="AJ43" s="40"/>
      <c r="AK43" s="40"/>
      <c r="AL43" s="40"/>
      <c r="AM43" s="44"/>
    </row>
    <row r="44" spans="5:39" ht="13.5">
      <c r="E44" s="314" t="str">
        <f t="shared" si="17"/>
        <v>C</v>
      </c>
      <c r="F44" s="309" t="str">
        <f t="shared" si="20"/>
        <v>エンジェルス</v>
      </c>
      <c r="G44" s="310">
        <f t="shared" si="18"/>
        <v>8</v>
      </c>
      <c r="H44" s="311"/>
      <c r="I44" s="312"/>
      <c r="J44" s="310">
        <f t="shared" si="19"/>
        <v>7</v>
      </c>
      <c r="K44" s="315">
        <f t="shared" si="21"/>
        <v>15</v>
      </c>
      <c r="AD44" s="233" t="s">
        <v>47</v>
      </c>
      <c r="AE44" s="233" t="s">
        <v>308</v>
      </c>
      <c r="AF44" s="233" t="s">
        <v>285</v>
      </c>
      <c r="AG44" s="44"/>
      <c r="AH44" s="44"/>
      <c r="AI44" s="44"/>
      <c r="AJ44" s="44"/>
      <c r="AK44" s="44"/>
      <c r="AL44" s="44"/>
      <c r="AM44" s="44"/>
    </row>
    <row r="45" spans="5:39" ht="13.5">
      <c r="E45" s="316" t="str">
        <f t="shared" si="17"/>
        <v>D</v>
      </c>
      <c r="F45" s="309" t="str">
        <f t="shared" si="20"/>
        <v>サンデーズＪｒ</v>
      </c>
      <c r="G45" s="310">
        <f t="shared" si="18"/>
        <v>7</v>
      </c>
      <c r="H45" s="311"/>
      <c r="I45" s="312"/>
      <c r="J45" s="310">
        <f t="shared" si="19"/>
        <v>8</v>
      </c>
      <c r="K45" s="315">
        <f t="shared" si="21"/>
        <v>15</v>
      </c>
      <c r="AD45" s="233" t="s">
        <v>48</v>
      </c>
      <c r="AE45" s="233" t="s">
        <v>309</v>
      </c>
      <c r="AF45" s="233" t="s">
        <v>285</v>
      </c>
      <c r="AG45" s="44"/>
      <c r="AH45" s="294"/>
      <c r="AI45" s="295"/>
      <c r="AJ45" s="40"/>
      <c r="AK45" s="296"/>
      <c r="AL45" s="296"/>
      <c r="AM45" s="44"/>
    </row>
    <row r="46" spans="5:39" ht="13.5">
      <c r="E46" s="317" t="str">
        <f t="shared" si="17"/>
        <v>E</v>
      </c>
      <c r="F46" s="318" t="str">
        <f t="shared" si="20"/>
        <v>Empty_A</v>
      </c>
      <c r="G46" s="319">
        <f t="shared" si="18"/>
        <v>0</v>
      </c>
      <c r="H46" s="320"/>
      <c r="I46" s="321"/>
      <c r="J46" s="319">
        <f t="shared" si="19"/>
        <v>0</v>
      </c>
      <c r="K46" s="322">
        <f t="shared" si="21"/>
        <v>0</v>
      </c>
      <c r="AD46" s="233" t="s">
        <v>303</v>
      </c>
      <c r="AE46" s="233" t="s">
        <v>303</v>
      </c>
      <c r="AF46" s="233" t="s">
        <v>286</v>
      </c>
      <c r="AG46" s="44"/>
      <c r="AH46" s="40"/>
      <c r="AI46" s="40"/>
      <c r="AJ46" s="40"/>
      <c r="AK46" s="40"/>
      <c r="AL46" s="40"/>
      <c r="AM46" s="44"/>
    </row>
    <row r="47" spans="5:39" ht="13.5">
      <c r="E47" s="323" t="str">
        <f t="shared" si="17"/>
        <v>F</v>
      </c>
      <c r="F47" s="318" t="str">
        <f t="shared" si="20"/>
        <v>Empty_B</v>
      </c>
      <c r="G47" s="319">
        <f t="shared" si="18"/>
        <v>0</v>
      </c>
      <c r="H47" s="320"/>
      <c r="I47" s="321"/>
      <c r="J47" s="319">
        <f t="shared" si="19"/>
        <v>0</v>
      </c>
      <c r="K47" s="322">
        <f t="shared" si="21"/>
        <v>0</v>
      </c>
      <c r="AD47" s="233" t="s">
        <v>304</v>
      </c>
      <c r="AE47" s="233" t="s">
        <v>304</v>
      </c>
      <c r="AF47" s="233" t="s">
        <v>286</v>
      </c>
      <c r="AG47" s="44"/>
      <c r="AH47" s="40"/>
      <c r="AI47" s="40"/>
      <c r="AJ47" s="40"/>
      <c r="AK47" s="40"/>
      <c r="AL47" s="40"/>
      <c r="AM47" s="44"/>
    </row>
    <row r="48" spans="5:39" ht="13.5">
      <c r="E48" s="324" t="str">
        <f t="shared" si="17"/>
        <v>G</v>
      </c>
      <c r="F48" s="318" t="str">
        <f t="shared" si="20"/>
        <v>Empty_C</v>
      </c>
      <c r="G48" s="319">
        <f t="shared" si="18"/>
        <v>0</v>
      </c>
      <c r="H48" s="320"/>
      <c r="I48" s="321"/>
      <c r="J48" s="319">
        <f t="shared" si="19"/>
        <v>0</v>
      </c>
      <c r="K48" s="322">
        <f t="shared" si="21"/>
        <v>0</v>
      </c>
      <c r="AD48" s="233" t="s">
        <v>310</v>
      </c>
      <c r="AE48" s="233" t="s">
        <v>279</v>
      </c>
      <c r="AF48" s="233" t="s">
        <v>285</v>
      </c>
      <c r="AG48" s="44"/>
      <c r="AH48" s="40"/>
      <c r="AI48" s="40"/>
      <c r="AJ48" s="40"/>
      <c r="AK48" s="40"/>
      <c r="AL48" s="40"/>
      <c r="AM48" s="44"/>
    </row>
    <row r="49" spans="5:39" ht="14.25" thickBot="1">
      <c r="E49" s="325" t="str">
        <f t="shared" si="17"/>
        <v>H</v>
      </c>
      <c r="F49" s="326" t="str">
        <f t="shared" si="20"/>
        <v>Empty_D</v>
      </c>
      <c r="G49" s="327">
        <f t="shared" si="18"/>
        <v>0</v>
      </c>
      <c r="H49" s="328"/>
      <c r="I49" s="329"/>
      <c r="J49" s="327">
        <f t="shared" si="19"/>
        <v>0</v>
      </c>
      <c r="K49" s="330">
        <f t="shared" si="21"/>
        <v>0</v>
      </c>
      <c r="AD49" s="233" t="s">
        <v>311</v>
      </c>
      <c r="AE49" s="233" t="s">
        <v>317</v>
      </c>
      <c r="AF49" s="233" t="s">
        <v>285</v>
      </c>
      <c r="AG49" s="44"/>
      <c r="AH49" s="40"/>
      <c r="AI49" s="40"/>
      <c r="AJ49" s="40"/>
      <c r="AK49" s="40"/>
      <c r="AL49" s="40"/>
      <c r="AM49" s="44"/>
    </row>
    <row r="50" spans="5:39" ht="14.25" thickBot="1">
      <c r="E50" s="566" t="s">
        <v>363</v>
      </c>
      <c r="F50" s="567"/>
      <c r="G50" s="331">
        <f>SUM(G42:G49)</f>
        <v>30</v>
      </c>
      <c r="H50" s="332"/>
      <c r="I50" s="333"/>
      <c r="J50" s="331">
        <f>SUM(J42:J49)</f>
        <v>30</v>
      </c>
      <c r="K50" s="334"/>
      <c r="AD50" s="233" t="s">
        <v>312</v>
      </c>
      <c r="AE50" s="233" t="s">
        <v>318</v>
      </c>
      <c r="AF50" s="233" t="s">
        <v>285</v>
      </c>
      <c r="AG50" s="44"/>
      <c r="AH50" s="40"/>
      <c r="AI50" s="40"/>
      <c r="AJ50" s="40"/>
      <c r="AK50" s="40"/>
      <c r="AL50" s="40"/>
      <c r="AM50" s="44"/>
    </row>
    <row r="51" spans="30:39" ht="13.5">
      <c r="AD51" s="233" t="s">
        <v>313</v>
      </c>
      <c r="AE51" s="233" t="s">
        <v>319</v>
      </c>
      <c r="AF51" s="233" t="s">
        <v>285</v>
      </c>
      <c r="AG51" s="44"/>
      <c r="AH51" s="44"/>
      <c r="AI51" s="44"/>
      <c r="AJ51" s="44"/>
      <c r="AK51" s="44"/>
      <c r="AL51" s="44"/>
      <c r="AM51" s="44"/>
    </row>
    <row r="52" spans="30:39" ht="13.5">
      <c r="AD52" s="233" t="s">
        <v>314</v>
      </c>
      <c r="AE52" s="233" t="s">
        <v>320</v>
      </c>
      <c r="AF52" s="233" t="s">
        <v>285</v>
      </c>
      <c r="AG52" s="44"/>
      <c r="AH52" s="294"/>
      <c r="AI52" s="295"/>
      <c r="AJ52" s="40"/>
      <c r="AK52" s="296"/>
      <c r="AL52" s="296"/>
      <c r="AM52" s="44"/>
    </row>
    <row r="53" spans="30:39" ht="13.5">
      <c r="AD53" s="233" t="s">
        <v>315</v>
      </c>
      <c r="AE53" s="233" t="s">
        <v>321</v>
      </c>
      <c r="AF53" s="233" t="s">
        <v>285</v>
      </c>
      <c r="AG53" s="44"/>
      <c r="AH53" s="40"/>
      <c r="AI53" s="40"/>
      <c r="AJ53" s="40"/>
      <c r="AK53" s="40"/>
      <c r="AL53" s="40"/>
      <c r="AM53" s="44"/>
    </row>
    <row r="54" spans="30:39" ht="13.5">
      <c r="AD54" s="233" t="s">
        <v>316</v>
      </c>
      <c r="AE54" s="233" t="s">
        <v>322</v>
      </c>
      <c r="AF54" s="233" t="s">
        <v>286</v>
      </c>
      <c r="AG54" s="44"/>
      <c r="AH54" s="40"/>
      <c r="AI54" s="40"/>
      <c r="AJ54" s="40"/>
      <c r="AK54" s="40"/>
      <c r="AL54" s="40"/>
      <c r="AM54" s="44"/>
    </row>
    <row r="55" spans="30:39" ht="13.5">
      <c r="AD55" s="233" t="s">
        <v>323</v>
      </c>
      <c r="AE55" s="233" t="s">
        <v>280</v>
      </c>
      <c r="AF55" s="233" t="s">
        <v>285</v>
      </c>
      <c r="AG55" s="44"/>
      <c r="AH55" s="40"/>
      <c r="AI55" s="40"/>
      <c r="AJ55" s="40"/>
      <c r="AK55" s="40"/>
      <c r="AL55" s="40"/>
      <c r="AM55" s="44"/>
    </row>
    <row r="56" spans="30:39" ht="13.5">
      <c r="AD56" s="233" t="s">
        <v>324</v>
      </c>
      <c r="AE56" s="233" t="s">
        <v>283</v>
      </c>
      <c r="AF56" s="233" t="s">
        <v>285</v>
      </c>
      <c r="AG56" s="44"/>
      <c r="AH56" s="40"/>
      <c r="AI56" s="40"/>
      <c r="AJ56" s="40"/>
      <c r="AK56" s="40"/>
      <c r="AL56" s="40"/>
      <c r="AM56" s="44"/>
    </row>
    <row r="57" spans="30:39" ht="13.5">
      <c r="AD57" s="233" t="s">
        <v>325</v>
      </c>
      <c r="AE57" s="233" t="s">
        <v>330</v>
      </c>
      <c r="AF57" s="233" t="s">
        <v>285</v>
      </c>
      <c r="AG57" s="44"/>
      <c r="AH57" s="40"/>
      <c r="AI57" s="40"/>
      <c r="AJ57" s="40"/>
      <c r="AK57" s="40"/>
      <c r="AL57" s="40"/>
      <c r="AM57" s="44"/>
    </row>
    <row r="58" spans="30:39" ht="13.5">
      <c r="AD58" s="233" t="s">
        <v>326</v>
      </c>
      <c r="AE58" s="233" t="s">
        <v>331</v>
      </c>
      <c r="AF58" s="233" t="s">
        <v>285</v>
      </c>
      <c r="AG58" s="44"/>
      <c r="AH58" s="44"/>
      <c r="AI58" s="44"/>
      <c r="AJ58" s="44"/>
      <c r="AK58" s="44"/>
      <c r="AL58" s="44"/>
      <c r="AM58" s="44"/>
    </row>
    <row r="59" spans="30:39" ht="13.5">
      <c r="AD59" s="233" t="s">
        <v>327</v>
      </c>
      <c r="AE59" s="233" t="s">
        <v>332</v>
      </c>
      <c r="AF59" s="233" t="s">
        <v>285</v>
      </c>
      <c r="AG59" s="44"/>
      <c r="AH59" s="294"/>
      <c r="AI59" s="295"/>
      <c r="AJ59" s="40"/>
      <c r="AK59" s="296"/>
      <c r="AL59" s="296"/>
      <c r="AM59" s="44"/>
    </row>
    <row r="60" spans="30:39" ht="13.5">
      <c r="AD60" s="233" t="s">
        <v>328</v>
      </c>
      <c r="AE60" s="233" t="s">
        <v>333</v>
      </c>
      <c r="AF60" s="233" t="s">
        <v>285</v>
      </c>
      <c r="AG60" s="44"/>
      <c r="AH60" s="40"/>
      <c r="AI60" s="40"/>
      <c r="AJ60" s="40"/>
      <c r="AK60" s="40"/>
      <c r="AL60" s="40"/>
      <c r="AM60" s="44"/>
    </row>
    <row r="61" spans="30:39" ht="13.5">
      <c r="AD61" s="233" t="s">
        <v>329</v>
      </c>
      <c r="AE61" s="233" t="s">
        <v>316</v>
      </c>
      <c r="AF61" s="233" t="s">
        <v>51</v>
      </c>
      <c r="AG61" s="44"/>
      <c r="AH61" s="40"/>
      <c r="AI61" s="40"/>
      <c r="AJ61" s="40"/>
      <c r="AK61" s="40"/>
      <c r="AL61" s="40"/>
      <c r="AM61" s="44"/>
    </row>
    <row r="62" spans="33:39" ht="13.5">
      <c r="AG62" s="44"/>
      <c r="AH62" s="40"/>
      <c r="AI62" s="40"/>
      <c r="AJ62" s="40"/>
      <c r="AK62" s="40"/>
      <c r="AL62" s="40"/>
      <c r="AM62" s="44"/>
    </row>
    <row r="63" spans="33:39" ht="13.5">
      <c r="AG63" s="44"/>
      <c r="AH63" s="40"/>
      <c r="AI63" s="40"/>
      <c r="AJ63" s="40"/>
      <c r="AK63" s="40"/>
      <c r="AL63" s="40"/>
      <c r="AM63" s="44"/>
    </row>
    <row r="64" spans="33:39" ht="13.5">
      <c r="AG64" s="44"/>
      <c r="AH64" s="40"/>
      <c r="AI64" s="40"/>
      <c r="AJ64" s="40"/>
      <c r="AK64" s="40"/>
      <c r="AL64" s="40"/>
      <c r="AM64" s="44"/>
    </row>
    <row r="65" spans="33:39" ht="13.5">
      <c r="AG65" s="44"/>
      <c r="AH65" s="44"/>
      <c r="AI65" s="44"/>
      <c r="AJ65" s="44"/>
      <c r="AK65" s="44"/>
      <c r="AL65" s="44"/>
      <c r="AM65" s="44"/>
    </row>
    <row r="66" spans="33:39" ht="13.5">
      <c r="AG66" s="44"/>
      <c r="AH66" s="294"/>
      <c r="AI66" s="295"/>
      <c r="AJ66" s="40"/>
      <c r="AK66" s="296"/>
      <c r="AL66" s="296"/>
      <c r="AM66" s="44"/>
    </row>
    <row r="67" spans="33:39" ht="13.5">
      <c r="AG67" s="44"/>
      <c r="AH67" s="40"/>
      <c r="AI67" s="40"/>
      <c r="AJ67" s="40"/>
      <c r="AK67" s="40"/>
      <c r="AL67" s="40"/>
      <c r="AM67" s="44"/>
    </row>
    <row r="68" spans="33:39" ht="13.5">
      <c r="AG68" s="44"/>
      <c r="AH68" s="40"/>
      <c r="AI68" s="40"/>
      <c r="AJ68" s="40"/>
      <c r="AK68" s="40"/>
      <c r="AL68" s="40"/>
      <c r="AM68" s="44"/>
    </row>
    <row r="69" spans="33:39" ht="13.5">
      <c r="AG69" s="44"/>
      <c r="AH69" s="40"/>
      <c r="AI69" s="40"/>
      <c r="AJ69" s="40"/>
      <c r="AK69" s="40"/>
      <c r="AL69" s="40"/>
      <c r="AM69" s="44"/>
    </row>
    <row r="70" spans="33:39" ht="13.5">
      <c r="AG70" s="44"/>
      <c r="AH70" s="40"/>
      <c r="AI70" s="40"/>
      <c r="AJ70" s="40"/>
      <c r="AK70" s="40"/>
      <c r="AL70" s="40"/>
      <c r="AM70" s="44"/>
    </row>
    <row r="71" spans="33:39" ht="13.5">
      <c r="AG71" s="44"/>
      <c r="AH71" s="40"/>
      <c r="AI71" s="40"/>
      <c r="AJ71" s="40"/>
      <c r="AK71" s="40"/>
      <c r="AL71" s="40"/>
      <c r="AM71" s="44"/>
    </row>
    <row r="72" spans="33:39" ht="13.5">
      <c r="AG72" s="44"/>
      <c r="AH72" s="44"/>
      <c r="AI72" s="44"/>
      <c r="AJ72" s="44"/>
      <c r="AK72" s="44"/>
      <c r="AL72" s="44"/>
      <c r="AM72" s="44"/>
    </row>
    <row r="73" spans="33:39" ht="13.5">
      <c r="AG73" s="44"/>
      <c r="AH73" s="44"/>
      <c r="AI73" s="44"/>
      <c r="AJ73" s="44"/>
      <c r="AK73" s="44"/>
      <c r="AL73" s="44"/>
      <c r="AM73" s="44"/>
    </row>
    <row r="74" spans="30:40" ht="13.5">
      <c r="AD74" s="233"/>
      <c r="AE74" s="234"/>
      <c r="AF74" s="234"/>
      <c r="AG74" s="297"/>
      <c r="AH74" s="298"/>
      <c r="AI74" s="40"/>
      <c r="AJ74" s="40"/>
      <c r="AK74" s="40"/>
      <c r="AL74" s="40"/>
      <c r="AM74" s="40"/>
      <c r="AN74" s="3"/>
    </row>
    <row r="75" spans="30:39" ht="36.75" customHeight="1">
      <c r="AD75" s="556" t="s">
        <v>444</v>
      </c>
      <c r="AE75" s="557"/>
      <c r="AF75" s="557"/>
      <c r="AG75" s="44"/>
      <c r="AH75" s="44"/>
      <c r="AI75" s="44"/>
      <c r="AJ75" s="44"/>
      <c r="AK75" s="44"/>
      <c r="AL75" s="44"/>
      <c r="AM75" s="44"/>
    </row>
    <row r="76" spans="33:39" ht="13.5">
      <c r="AG76" s="44"/>
      <c r="AH76" s="44"/>
      <c r="AI76" s="44"/>
      <c r="AJ76" s="44"/>
      <c r="AK76" s="44"/>
      <c r="AL76" s="44"/>
      <c r="AM76" s="44"/>
    </row>
    <row r="77" spans="33:39" ht="13.5">
      <c r="AG77" s="44"/>
      <c r="AH77" s="44"/>
      <c r="AI77" s="44"/>
      <c r="AJ77" s="44"/>
      <c r="AK77" s="44"/>
      <c r="AL77" s="44"/>
      <c r="AM77" s="44"/>
    </row>
    <row r="78" spans="33:39" ht="13.5">
      <c r="AG78" s="44"/>
      <c r="AH78" s="44"/>
      <c r="AI78" s="44"/>
      <c r="AJ78" s="44"/>
      <c r="AK78" s="44"/>
      <c r="AL78" s="44"/>
      <c r="AM78" s="44"/>
    </row>
    <row r="79" spans="33:39" ht="13.5">
      <c r="AG79" s="44"/>
      <c r="AH79" s="44"/>
      <c r="AI79" s="44"/>
      <c r="AJ79" s="44"/>
      <c r="AK79" s="44"/>
      <c r="AL79" s="44"/>
      <c r="AM79" s="44"/>
    </row>
    <row r="80" spans="33:39" ht="13.5">
      <c r="AG80" s="44"/>
      <c r="AH80" s="44"/>
      <c r="AI80" s="44"/>
      <c r="AJ80" s="44"/>
      <c r="AK80" s="44"/>
      <c r="AL80" s="44"/>
      <c r="AM80" s="44"/>
    </row>
    <row r="81" spans="33:39" ht="13.5">
      <c r="AG81" s="44"/>
      <c r="AH81" s="44"/>
      <c r="AI81" s="44"/>
      <c r="AJ81" s="44"/>
      <c r="AK81" s="44"/>
      <c r="AL81" s="44"/>
      <c r="AM81" s="44"/>
    </row>
    <row r="82" spans="33:39" ht="13.5">
      <c r="AG82" s="44"/>
      <c r="AH82" s="44"/>
      <c r="AI82" s="44"/>
      <c r="AJ82" s="44"/>
      <c r="AK82" s="44"/>
      <c r="AL82" s="44"/>
      <c r="AM82" s="44"/>
    </row>
    <row r="83" spans="33:39" ht="13.5">
      <c r="AG83" s="44"/>
      <c r="AH83" s="44"/>
      <c r="AI83" s="44"/>
      <c r="AJ83" s="44"/>
      <c r="AK83" s="44"/>
      <c r="AL83" s="44"/>
      <c r="AM83" s="44"/>
    </row>
    <row r="84" spans="33:39" ht="13.5">
      <c r="AG84" s="44"/>
      <c r="AH84" s="44"/>
      <c r="AI84" s="44"/>
      <c r="AJ84" s="44"/>
      <c r="AK84" s="44"/>
      <c r="AL84" s="44"/>
      <c r="AM84" s="44"/>
    </row>
  </sheetData>
  <sheetProtection/>
  <mergeCells count="32">
    <mergeCell ref="H39:I40"/>
    <mergeCell ref="E50:F50"/>
    <mergeCell ref="E40:F40"/>
    <mergeCell ref="F3:K3"/>
    <mergeCell ref="F4:H4"/>
    <mergeCell ref="U4:U6"/>
    <mergeCell ref="I4:K4"/>
    <mergeCell ref="L3:L4"/>
    <mergeCell ref="H38:I38"/>
    <mergeCell ref="S4:T4"/>
    <mergeCell ref="AD75:AF75"/>
    <mergeCell ref="AH2:AL2"/>
    <mergeCell ref="Z18:AA18"/>
    <mergeCell ref="AD3:AF3"/>
    <mergeCell ref="AB5:AB6"/>
    <mergeCell ref="AA5:AA6"/>
    <mergeCell ref="AG1:AL1"/>
    <mergeCell ref="Y1:AE1"/>
    <mergeCell ref="D3:E3"/>
    <mergeCell ref="B4:B5"/>
    <mergeCell ref="C4:C5"/>
    <mergeCell ref="D4:D5"/>
    <mergeCell ref="R4:R5"/>
    <mergeCell ref="M3:T3"/>
    <mergeCell ref="M4:Q4"/>
    <mergeCell ref="V3:W4"/>
    <mergeCell ref="E4:E5"/>
    <mergeCell ref="B3:C3"/>
    <mergeCell ref="Y3:AA3"/>
    <mergeCell ref="Y5:Y6"/>
    <mergeCell ref="N1:W1"/>
    <mergeCell ref="A1:M1"/>
  </mergeCells>
  <conditionalFormatting sqref="C7:C36">
    <cfRule type="cellIs" priority="1" dxfId="4" operator="lessThan" stopIfTrue="1">
      <formula>1</formula>
    </cfRule>
    <cfRule type="cellIs" priority="2" dxfId="4" operator="greaterThan" stopIfTrue="1">
      <formula>4</formula>
    </cfRule>
  </conditionalFormatting>
  <conditionalFormatting sqref="K7:K49 H7:H37">
    <cfRule type="cellIs" priority="3" dxfId="4" operator="lessThan" stopIfTrue="1">
      <formula>0</formula>
    </cfRule>
  </conditionalFormatting>
  <conditionalFormatting sqref="I7:I36 F7:F36">
    <cfRule type="cellIs" priority="4" dxfId="0" operator="equal" stopIfTrue="1">
      <formula>""</formula>
    </cfRule>
  </conditionalFormatting>
  <conditionalFormatting sqref="AB7:AB14">
    <cfRule type="cellIs" priority="5" dxfId="0" operator="equal" stopIfTrue="1">
      <formula>"エラー"</formula>
    </cfRule>
  </conditionalFormatting>
  <conditionalFormatting sqref="O7:O36">
    <cfRule type="cellIs" priority="6" dxfId="0" operator="greaterThan" stopIfTrue="1">
      <formula>10</formula>
    </cfRule>
  </conditionalFormatting>
  <conditionalFormatting sqref="E7:E36">
    <cfRule type="cellIs" priority="7" dxfId="0" operator="greaterThan" stopIfTrue="1">
      <formula>4</formula>
    </cfRule>
  </conditionalFormatting>
  <printOptions/>
  <pageMargins left="0.75" right="0.75" top="1" bottom="1" header="0.512" footer="0.512"/>
  <pageSetup horizontalDpi="600" verticalDpi="600" orientation="portrait" paperSize="9" r:id="rId4"/>
  <ignoredErrors>
    <ignoredError sqref="A7:A15" numberStoredAsText="1"/>
    <ignoredError sqref="F7:F36 I7:I36" unlockedFormula="1"/>
  </ignoredErrors>
  <drawing r:id="rId3"/>
  <legacyDrawing r:id="rId2"/>
</worksheet>
</file>

<file path=xl/worksheets/sheet11.xml><?xml version="1.0" encoding="utf-8"?>
<worksheet xmlns="http://schemas.openxmlformats.org/spreadsheetml/2006/main" xmlns:r="http://schemas.openxmlformats.org/officeDocument/2006/relationships">
  <sheetPr>
    <tabColor indexed="16"/>
  </sheetPr>
  <dimension ref="A1:T71"/>
  <sheetViews>
    <sheetView showGridLines="0" zoomScalePageLayoutView="0" workbookViewId="0" topLeftCell="A1">
      <selection activeCell="E6" sqref="E6"/>
    </sheetView>
  </sheetViews>
  <sheetFormatPr defaultColWidth="8.796875" defaultRowHeight="15"/>
  <cols>
    <col min="3" max="3" width="4.5" style="0" customWidth="1"/>
    <col min="4" max="4" width="13" style="0" customWidth="1"/>
    <col min="5" max="5" width="10.69921875" style="0" customWidth="1"/>
    <col min="6" max="6" width="3.19921875" style="0" customWidth="1"/>
    <col min="7" max="7" width="26.69921875" style="0" customWidth="1"/>
    <col min="8" max="8" width="3.19921875" style="0" customWidth="1"/>
    <col min="9" max="9" width="26.69921875" style="0" customWidth="1"/>
    <col min="13" max="13" width="12.5" style="0" customWidth="1"/>
    <col min="14" max="14" width="11.5" style="0" bestFit="1" customWidth="1"/>
    <col min="16" max="16" width="11.5" style="0" bestFit="1" customWidth="1"/>
  </cols>
  <sheetData>
    <row r="1" spans="1:20" ht="13.5">
      <c r="A1" s="195"/>
      <c r="B1" s="196"/>
      <c r="C1" s="196"/>
      <c r="D1" s="196"/>
      <c r="E1" s="196"/>
      <c r="F1" s="196"/>
      <c r="G1" s="196"/>
      <c r="H1" s="196"/>
      <c r="I1" s="196"/>
      <c r="J1" s="196"/>
      <c r="K1" s="196"/>
      <c r="L1" s="197"/>
      <c r="M1" s="197"/>
      <c r="N1" s="197"/>
      <c r="O1" s="197"/>
      <c r="P1" s="197"/>
      <c r="Q1" s="197"/>
      <c r="R1" s="197"/>
      <c r="S1" s="38"/>
      <c r="T1" s="14"/>
    </row>
    <row r="2" spans="1:20" ht="13.5">
      <c r="A2" s="195"/>
      <c r="B2" s="574" t="s">
        <v>468</v>
      </c>
      <c r="C2" s="574"/>
      <c r="D2" s="574"/>
      <c r="E2" s="196"/>
      <c r="F2" s="196"/>
      <c r="G2" s="196"/>
      <c r="H2" s="196"/>
      <c r="I2" s="196"/>
      <c r="J2" s="196"/>
      <c r="K2" s="196"/>
      <c r="L2" s="197"/>
      <c r="M2" s="197"/>
      <c r="N2" s="197"/>
      <c r="O2" s="197"/>
      <c r="P2" s="197"/>
      <c r="Q2" s="197"/>
      <c r="R2" s="197"/>
      <c r="S2" s="38"/>
      <c r="T2" s="14"/>
    </row>
    <row r="3" spans="1:20" ht="13.5">
      <c r="A3" s="195"/>
      <c r="B3" s="196"/>
      <c r="C3" s="196"/>
      <c r="D3" s="196"/>
      <c r="E3" s="196"/>
      <c r="F3" s="196"/>
      <c r="G3" s="196"/>
      <c r="H3" s="196"/>
      <c r="I3" s="196"/>
      <c r="J3" s="196"/>
      <c r="K3" s="196"/>
      <c r="L3" s="197"/>
      <c r="M3" s="197"/>
      <c r="N3" s="197"/>
      <c r="O3" s="197"/>
      <c r="P3" s="197"/>
      <c r="Q3" s="197"/>
      <c r="R3" s="197"/>
      <c r="S3" s="38"/>
      <c r="T3" s="14"/>
    </row>
    <row r="4" spans="1:20" ht="14.25" thickBot="1">
      <c r="A4" s="195"/>
      <c r="B4" s="196"/>
      <c r="C4" s="196"/>
      <c r="D4" s="196"/>
      <c r="E4" s="196"/>
      <c r="F4" s="196"/>
      <c r="G4" s="196"/>
      <c r="H4" s="196"/>
      <c r="I4" s="196"/>
      <c r="J4" s="195"/>
      <c r="K4" s="196"/>
      <c r="L4" s="197"/>
      <c r="M4" s="197"/>
      <c r="N4" s="197"/>
      <c r="O4" s="197"/>
      <c r="P4" s="197"/>
      <c r="Q4" s="197"/>
      <c r="R4" s="197"/>
      <c r="S4" s="38"/>
      <c r="T4" s="14"/>
    </row>
    <row r="5" spans="1:20" ht="24" thickBot="1" thickTop="1">
      <c r="A5" s="195"/>
      <c r="B5" s="196"/>
      <c r="C5" s="196"/>
      <c r="D5" s="198" t="s">
        <v>406</v>
      </c>
      <c r="E5" s="398">
        <v>5</v>
      </c>
      <c r="F5" s="198" t="s">
        <v>405</v>
      </c>
      <c r="G5" s="397" t="str">
        <f>IF(OR(E5&lt;1,E5&gt;15),"Ｎｏ　Ｇｏｏｄ","Ｇｏｏｄ")</f>
        <v>Ｇｏｏｄ</v>
      </c>
      <c r="H5" s="196"/>
      <c r="I5" s="196"/>
      <c r="J5" s="196"/>
      <c r="K5" s="196"/>
      <c r="L5" s="197"/>
      <c r="M5" s="197"/>
      <c r="N5" s="197"/>
      <c r="O5" s="197"/>
      <c r="P5" s="197"/>
      <c r="Q5" s="197"/>
      <c r="R5" s="197"/>
      <c r="S5" s="38"/>
      <c r="T5" s="14"/>
    </row>
    <row r="6" spans="1:20" ht="24" thickTop="1">
      <c r="A6" s="195"/>
      <c r="B6" s="196"/>
      <c r="C6" s="196"/>
      <c r="D6" s="196"/>
      <c r="E6" s="199">
        <v>6</v>
      </c>
      <c r="F6" s="196"/>
      <c r="G6" s="396"/>
      <c r="H6" s="196"/>
      <c r="I6" s="196"/>
      <c r="J6" s="196"/>
      <c r="K6" s="196"/>
      <c r="L6" s="197"/>
      <c r="M6" s="197"/>
      <c r="N6" s="197"/>
      <c r="O6" s="197"/>
      <c r="P6" s="197"/>
      <c r="Q6" s="197"/>
      <c r="R6" s="197"/>
      <c r="S6" s="38"/>
      <c r="T6" s="14"/>
    </row>
    <row r="7" spans="1:20" ht="14.25" thickBot="1">
      <c r="A7" s="195"/>
      <c r="B7" s="196"/>
      <c r="C7" s="196"/>
      <c r="D7" s="196"/>
      <c r="E7" s="196"/>
      <c r="F7" s="196"/>
      <c r="G7" s="196"/>
      <c r="H7" s="196"/>
      <c r="I7" s="196"/>
      <c r="J7" s="196"/>
      <c r="K7" s="196"/>
      <c r="L7" s="197"/>
      <c r="M7" s="197"/>
      <c r="N7" s="197"/>
      <c r="O7" s="197"/>
      <c r="P7" s="197"/>
      <c r="Q7" s="197"/>
      <c r="R7" s="197"/>
      <c r="S7" s="38"/>
      <c r="T7" s="14"/>
    </row>
    <row r="8" spans="1:20" ht="13.5">
      <c r="A8" s="200"/>
      <c r="B8" s="201" t="s">
        <v>409</v>
      </c>
      <c r="C8" s="202"/>
      <c r="D8" s="201" t="s">
        <v>410</v>
      </c>
      <c r="E8" s="203" t="s">
        <v>10</v>
      </c>
      <c r="F8" s="202"/>
      <c r="G8" s="201" t="s">
        <v>407</v>
      </c>
      <c r="H8" s="202"/>
      <c r="I8" s="201" t="s">
        <v>408</v>
      </c>
      <c r="J8" s="204"/>
      <c r="K8" s="204"/>
      <c r="L8" s="205"/>
      <c r="M8" s="201" t="s">
        <v>402</v>
      </c>
      <c r="N8" s="203" t="s">
        <v>10</v>
      </c>
      <c r="O8" s="205"/>
      <c r="P8" s="201" t="s">
        <v>411</v>
      </c>
      <c r="Q8" s="203" t="s">
        <v>10</v>
      </c>
      <c r="R8" s="205"/>
      <c r="S8" s="580" t="s">
        <v>414</v>
      </c>
      <c r="T8" s="581"/>
    </row>
    <row r="9" spans="1:20" ht="14.25" thickBot="1">
      <c r="A9" s="200"/>
      <c r="B9" s="202"/>
      <c r="C9" s="202"/>
      <c r="D9" s="202"/>
      <c r="E9" s="202"/>
      <c r="F9" s="202"/>
      <c r="G9" s="202"/>
      <c r="H9" s="202"/>
      <c r="I9" s="202"/>
      <c r="J9" s="204"/>
      <c r="K9" s="204"/>
      <c r="L9" s="205"/>
      <c r="M9" s="202"/>
      <c r="N9" s="202"/>
      <c r="O9" s="205"/>
      <c r="P9" s="202"/>
      <c r="Q9" s="202"/>
      <c r="R9" s="205"/>
      <c r="S9" s="582"/>
      <c r="T9" s="583"/>
    </row>
    <row r="10" spans="1:20" ht="19.5" thickBot="1" thickTop="1">
      <c r="A10" s="206"/>
      <c r="B10" s="207" t="str">
        <f>VLOOKUP(($E$5)*2-1,$S$12:$T$71,2,FALSE)</f>
        <v>09</v>
      </c>
      <c r="C10" s="208"/>
      <c r="D10" s="209">
        <f>IF(P10=0,M10,P10)</f>
        <v>45431</v>
      </c>
      <c r="E10" s="210">
        <f>IF(Q10=0,N10,Q10)</f>
        <v>1</v>
      </c>
      <c r="F10" s="211"/>
      <c r="G10" s="209" t="str">
        <f>VLOOKUP(B10,'素データ'!$A:$I,6,FALSE)</f>
        <v>サンデーズＪｒ</v>
      </c>
      <c r="H10" s="211"/>
      <c r="I10" s="209" t="str">
        <f>VLOOKUP(B10,'素データ'!$A:$I,9,FALSE)</f>
        <v>ディアス</v>
      </c>
      <c r="J10" s="212"/>
      <c r="K10" s="212"/>
      <c r="L10" s="213"/>
      <c r="M10" s="209">
        <f>VLOOKUP(B10,'素データ'!$A:$E,2,FALSE)</f>
        <v>45417</v>
      </c>
      <c r="N10" s="210">
        <f>VLOOKUP(B10,'素データ'!$A:$E,3,FALSE)</f>
        <v>1</v>
      </c>
      <c r="O10" s="213"/>
      <c r="P10" s="209">
        <f>VLOOKUP(B10,'素データ'!$A:$E,4,FALSE)</f>
        <v>45431</v>
      </c>
      <c r="Q10" s="210">
        <f>VLOOKUP(B10,'素データ'!$A:$E,5,FALSE)</f>
        <v>1</v>
      </c>
      <c r="R10" s="213"/>
      <c r="S10" s="576" t="s">
        <v>413</v>
      </c>
      <c r="T10" s="578" t="s">
        <v>412</v>
      </c>
    </row>
    <row r="11" spans="1:20" ht="14.25" thickTop="1">
      <c r="A11" s="214"/>
      <c r="B11" s="215" t="s">
        <v>404</v>
      </c>
      <c r="C11" s="214"/>
      <c r="D11" s="575" t="s">
        <v>403</v>
      </c>
      <c r="E11" s="575"/>
      <c r="F11" s="216"/>
      <c r="G11" s="215" t="s">
        <v>403</v>
      </c>
      <c r="H11" s="216"/>
      <c r="I11" s="215" t="s">
        <v>403</v>
      </c>
      <c r="J11" s="214"/>
      <c r="K11" s="214"/>
      <c r="L11" s="217"/>
      <c r="M11" s="584" t="s">
        <v>403</v>
      </c>
      <c r="N11" s="584"/>
      <c r="O11" s="217"/>
      <c r="P11" s="584" t="s">
        <v>403</v>
      </c>
      <c r="Q11" s="584"/>
      <c r="R11" s="217"/>
      <c r="S11" s="577"/>
      <c r="T11" s="579"/>
    </row>
    <row r="12" spans="1:20" ht="13.5">
      <c r="A12" s="196"/>
      <c r="B12" s="196"/>
      <c r="C12" s="196"/>
      <c r="D12" s="196"/>
      <c r="E12" s="196"/>
      <c r="F12" s="196"/>
      <c r="G12" s="196"/>
      <c r="H12" s="196"/>
      <c r="I12" s="196"/>
      <c r="J12" s="196"/>
      <c r="K12" s="196"/>
      <c r="L12" s="197"/>
      <c r="M12" s="196"/>
      <c r="N12" s="196"/>
      <c r="O12" s="197"/>
      <c r="P12" s="196"/>
      <c r="Q12" s="196"/>
      <c r="R12" s="197"/>
      <c r="S12" s="115">
        <v>1</v>
      </c>
      <c r="T12" s="218" t="s">
        <v>415</v>
      </c>
    </row>
    <row r="13" spans="1:20" ht="14.25" thickBot="1">
      <c r="A13" s="196"/>
      <c r="B13" s="196"/>
      <c r="C13" s="196"/>
      <c r="D13" s="196"/>
      <c r="E13" s="196"/>
      <c r="F13" s="196"/>
      <c r="G13" s="196"/>
      <c r="H13" s="196"/>
      <c r="I13" s="196"/>
      <c r="J13" s="196"/>
      <c r="K13" s="196"/>
      <c r="L13" s="197"/>
      <c r="M13" s="196"/>
      <c r="N13" s="196"/>
      <c r="O13" s="197"/>
      <c r="P13" s="196"/>
      <c r="Q13" s="196"/>
      <c r="R13" s="197"/>
      <c r="S13" s="115">
        <v>2</v>
      </c>
      <c r="T13" s="218" t="s">
        <v>416</v>
      </c>
    </row>
    <row r="14" spans="1:20" ht="19.5" thickBot="1" thickTop="1">
      <c r="A14" s="196"/>
      <c r="B14" s="207">
        <f>VLOOKUP(($E$5)*2,$S$12:$T$71,2,FALSE)</f>
        <v>10</v>
      </c>
      <c r="C14" s="208"/>
      <c r="D14" s="209">
        <f>IF(P14=0,M14,P14)</f>
        <v>45431</v>
      </c>
      <c r="E14" s="210">
        <f>IF(Q14=0,N14,Q14)</f>
        <v>2</v>
      </c>
      <c r="F14" s="211"/>
      <c r="G14" s="209" t="str">
        <f>VLOOKUP(B14,'素データ'!$A:$I,6,FALSE)</f>
        <v>エンジェルス</v>
      </c>
      <c r="H14" s="211"/>
      <c r="I14" s="209" t="str">
        <f>VLOOKUP(B14,'素データ'!$A:$I,9,FALSE)</f>
        <v>ベアーズ</v>
      </c>
      <c r="J14" s="196"/>
      <c r="K14" s="196"/>
      <c r="L14" s="197"/>
      <c r="M14" s="209">
        <f>VLOOKUP(B14,'素データ'!$A:$E,2,FALSE)</f>
        <v>45417</v>
      </c>
      <c r="N14" s="210">
        <f>VLOOKUP(B14,'素データ'!$A:$E,3,FALSE)</f>
        <v>2</v>
      </c>
      <c r="O14" s="213"/>
      <c r="P14" s="209">
        <f>VLOOKUP(B14,'素データ'!$A:$E,4,FALSE)</f>
        <v>45431</v>
      </c>
      <c r="Q14" s="210">
        <f>VLOOKUP(B14,'素データ'!$A:$E,5,FALSE)</f>
        <v>2</v>
      </c>
      <c r="R14" s="197"/>
      <c r="S14" s="115">
        <v>3</v>
      </c>
      <c r="T14" s="218" t="s">
        <v>417</v>
      </c>
    </row>
    <row r="15" spans="1:20" ht="14.25" thickTop="1">
      <c r="A15" s="219"/>
      <c r="B15" s="215" t="s">
        <v>404</v>
      </c>
      <c r="C15" s="216"/>
      <c r="D15" s="575" t="s">
        <v>403</v>
      </c>
      <c r="E15" s="575"/>
      <c r="F15" s="216"/>
      <c r="G15" s="215" t="s">
        <v>403</v>
      </c>
      <c r="H15" s="216"/>
      <c r="I15" s="215" t="s">
        <v>403</v>
      </c>
      <c r="J15" s="219"/>
      <c r="K15" s="219"/>
      <c r="L15" s="220"/>
      <c r="M15" s="584" t="s">
        <v>403</v>
      </c>
      <c r="N15" s="584"/>
      <c r="O15" s="220"/>
      <c r="P15" s="584" t="s">
        <v>403</v>
      </c>
      <c r="Q15" s="584"/>
      <c r="R15" s="220"/>
      <c r="S15" s="115">
        <v>4</v>
      </c>
      <c r="T15" s="218" t="s">
        <v>418</v>
      </c>
    </row>
    <row r="16" spans="1:20" ht="13.5">
      <c r="A16" s="196"/>
      <c r="B16" s="196"/>
      <c r="C16" s="196"/>
      <c r="D16" s="196"/>
      <c r="E16" s="196"/>
      <c r="F16" s="196"/>
      <c r="G16" s="196"/>
      <c r="H16" s="196"/>
      <c r="I16" s="196"/>
      <c r="J16" s="196"/>
      <c r="K16" s="196"/>
      <c r="L16" s="197"/>
      <c r="M16" s="196"/>
      <c r="N16" s="196"/>
      <c r="O16" s="197"/>
      <c r="P16" s="196"/>
      <c r="Q16" s="196"/>
      <c r="R16" s="197"/>
      <c r="S16" s="115">
        <v>5</v>
      </c>
      <c r="T16" s="218" t="s">
        <v>419</v>
      </c>
    </row>
    <row r="17" spans="1:20" ht="13.5">
      <c r="A17" s="14"/>
      <c r="B17" s="14"/>
      <c r="C17" s="14"/>
      <c r="D17" s="14"/>
      <c r="E17" s="14"/>
      <c r="F17" s="14"/>
      <c r="G17" s="14"/>
      <c r="H17" s="14"/>
      <c r="I17" s="14"/>
      <c r="J17" s="14"/>
      <c r="K17" s="14"/>
      <c r="L17" s="14"/>
      <c r="M17" s="14"/>
      <c r="N17" s="14"/>
      <c r="O17" s="14"/>
      <c r="P17" s="14"/>
      <c r="Q17" s="14"/>
      <c r="R17" s="14"/>
      <c r="S17" s="115">
        <v>6</v>
      </c>
      <c r="T17" s="218" t="s">
        <v>420</v>
      </c>
    </row>
    <row r="18" spans="1:20" ht="18.75">
      <c r="A18" s="14"/>
      <c r="B18" s="14"/>
      <c r="C18" s="290"/>
      <c r="D18" s="14"/>
      <c r="E18" s="14"/>
      <c r="F18" s="14"/>
      <c r="G18" s="14"/>
      <c r="H18" s="14"/>
      <c r="I18" s="14"/>
      <c r="J18" s="14"/>
      <c r="K18" s="14"/>
      <c r="L18" s="14"/>
      <c r="M18" s="14"/>
      <c r="N18" s="14"/>
      <c r="O18" s="14"/>
      <c r="P18" s="14"/>
      <c r="Q18" s="14"/>
      <c r="R18" s="14"/>
      <c r="S18" s="115">
        <v>7</v>
      </c>
      <c r="T18" s="218" t="s">
        <v>421</v>
      </c>
    </row>
    <row r="19" spans="1:20" ht="13.5">
      <c r="A19" s="291"/>
      <c r="B19" s="14"/>
      <c r="C19" s="292"/>
      <c r="D19" s="14"/>
      <c r="E19" s="14"/>
      <c r="F19" s="14"/>
      <c r="G19" s="14"/>
      <c r="H19" s="14"/>
      <c r="I19" s="14"/>
      <c r="J19" s="14"/>
      <c r="K19" s="14"/>
      <c r="L19" s="14"/>
      <c r="M19" s="14"/>
      <c r="N19" s="14"/>
      <c r="O19" s="14"/>
      <c r="P19" s="14"/>
      <c r="Q19" s="14"/>
      <c r="R19" s="291"/>
      <c r="S19" s="115">
        <v>8</v>
      </c>
      <c r="T19" s="218" t="s">
        <v>422</v>
      </c>
    </row>
    <row r="20" spans="1:20" ht="13.5">
      <c r="A20" s="14"/>
      <c r="B20" s="14"/>
      <c r="C20" s="14"/>
      <c r="D20" s="14"/>
      <c r="E20" s="14"/>
      <c r="F20" s="14"/>
      <c r="G20" s="14"/>
      <c r="H20" s="14"/>
      <c r="I20" s="14"/>
      <c r="J20" s="14"/>
      <c r="K20" s="14"/>
      <c r="L20" s="14"/>
      <c r="M20" s="14"/>
      <c r="N20" s="14"/>
      <c r="O20" s="14"/>
      <c r="P20" s="14"/>
      <c r="Q20" s="14"/>
      <c r="R20" s="14"/>
      <c r="S20" s="115">
        <v>9</v>
      </c>
      <c r="T20" s="218" t="s">
        <v>423</v>
      </c>
    </row>
    <row r="21" spans="1:20" ht="13.5">
      <c r="A21" s="14"/>
      <c r="B21" s="14"/>
      <c r="C21" s="14"/>
      <c r="D21" s="14"/>
      <c r="E21" s="14"/>
      <c r="F21" s="14"/>
      <c r="G21" s="14"/>
      <c r="H21" s="14"/>
      <c r="I21" s="14"/>
      <c r="J21" s="14"/>
      <c r="K21" s="14"/>
      <c r="L21" s="14"/>
      <c r="M21" s="14"/>
      <c r="N21" s="14"/>
      <c r="O21" s="14"/>
      <c r="P21" s="14"/>
      <c r="Q21" s="14"/>
      <c r="R21" s="14"/>
      <c r="S21" s="115">
        <v>10</v>
      </c>
      <c r="T21" s="218">
        <v>10</v>
      </c>
    </row>
    <row r="22" spans="1:20" ht="18.75">
      <c r="A22" s="14"/>
      <c r="B22" s="14"/>
      <c r="C22" s="290"/>
      <c r="D22" s="14"/>
      <c r="E22" s="14"/>
      <c r="F22" s="14"/>
      <c r="G22" s="14"/>
      <c r="H22" s="14"/>
      <c r="I22" s="14"/>
      <c r="J22" s="14"/>
      <c r="K22" s="14"/>
      <c r="L22" s="14"/>
      <c r="M22" s="14"/>
      <c r="N22" s="14"/>
      <c r="O22" s="14"/>
      <c r="P22" s="14"/>
      <c r="Q22" s="14"/>
      <c r="R22" s="14"/>
      <c r="S22" s="115">
        <v>11</v>
      </c>
      <c r="T22" s="218">
        <v>11</v>
      </c>
    </row>
    <row r="23" spans="1:20" ht="13.5">
      <c r="A23" s="291"/>
      <c r="B23" s="14"/>
      <c r="C23" s="292"/>
      <c r="D23" s="14"/>
      <c r="E23" s="14"/>
      <c r="F23" s="14"/>
      <c r="G23" s="14"/>
      <c r="H23" s="14"/>
      <c r="I23" s="14"/>
      <c r="J23" s="14"/>
      <c r="K23" s="14"/>
      <c r="L23" s="14"/>
      <c r="M23" s="14"/>
      <c r="N23" s="14"/>
      <c r="O23" s="14"/>
      <c r="P23" s="14"/>
      <c r="Q23" s="14"/>
      <c r="R23" s="291"/>
      <c r="S23" s="115">
        <v>12</v>
      </c>
      <c r="T23" s="218">
        <v>12</v>
      </c>
    </row>
    <row r="24" spans="1:20" ht="13.5">
      <c r="A24" s="14"/>
      <c r="B24" s="14"/>
      <c r="C24" s="14"/>
      <c r="D24" s="14"/>
      <c r="E24" s="14"/>
      <c r="F24" s="14"/>
      <c r="G24" s="14"/>
      <c r="H24" s="14"/>
      <c r="I24" s="14"/>
      <c r="J24" s="14"/>
      <c r="K24" s="14"/>
      <c r="L24" s="14"/>
      <c r="M24" s="14"/>
      <c r="N24" s="14"/>
      <c r="O24" s="14"/>
      <c r="P24" s="14"/>
      <c r="Q24" s="14"/>
      <c r="R24" s="14"/>
      <c r="S24" s="115">
        <v>13</v>
      </c>
      <c r="T24" s="218">
        <v>13</v>
      </c>
    </row>
    <row r="25" spans="1:20" ht="13.5">
      <c r="A25" s="14"/>
      <c r="B25" s="14"/>
      <c r="C25" s="14"/>
      <c r="D25" s="14"/>
      <c r="E25" s="14"/>
      <c r="F25" s="14"/>
      <c r="G25" s="14"/>
      <c r="H25" s="14"/>
      <c r="I25" s="14"/>
      <c r="J25" s="14"/>
      <c r="K25" s="14"/>
      <c r="L25" s="14"/>
      <c r="M25" s="14"/>
      <c r="N25" s="14"/>
      <c r="O25" s="14"/>
      <c r="P25" s="14"/>
      <c r="Q25" s="14"/>
      <c r="R25" s="14"/>
      <c r="S25" s="115">
        <v>14</v>
      </c>
      <c r="T25" s="218">
        <v>14</v>
      </c>
    </row>
    <row r="26" spans="1:20" ht="13.5">
      <c r="A26" s="14"/>
      <c r="B26" s="14"/>
      <c r="C26" s="14"/>
      <c r="D26" s="293"/>
      <c r="E26" s="293"/>
      <c r="F26" s="293"/>
      <c r="G26" s="293"/>
      <c r="H26" s="293"/>
      <c r="I26" s="293"/>
      <c r="J26" s="293"/>
      <c r="K26" s="293"/>
      <c r="L26" s="293"/>
      <c r="M26" s="293"/>
      <c r="N26" s="293"/>
      <c r="O26" s="293"/>
      <c r="P26" s="293"/>
      <c r="Q26" s="293"/>
      <c r="R26" s="14"/>
      <c r="S26" s="115">
        <v>15</v>
      </c>
      <c r="T26" s="218">
        <v>15</v>
      </c>
    </row>
    <row r="27" spans="1:20" ht="13.5">
      <c r="A27" s="14"/>
      <c r="B27" s="14"/>
      <c r="C27" s="14"/>
      <c r="D27" s="293"/>
      <c r="E27" s="293"/>
      <c r="F27" s="293"/>
      <c r="G27" s="293"/>
      <c r="H27" s="293"/>
      <c r="I27" s="293"/>
      <c r="J27" s="293"/>
      <c r="K27" s="293"/>
      <c r="L27" s="293"/>
      <c r="M27" s="293"/>
      <c r="N27" s="293"/>
      <c r="O27" s="293"/>
      <c r="P27" s="293"/>
      <c r="Q27" s="293"/>
      <c r="R27" s="14"/>
      <c r="S27" s="115">
        <v>16</v>
      </c>
      <c r="T27" s="218">
        <v>16</v>
      </c>
    </row>
    <row r="28" spans="1:20" ht="13.5">
      <c r="A28" s="14"/>
      <c r="B28" s="14"/>
      <c r="C28" s="14"/>
      <c r="D28" s="293"/>
      <c r="E28" s="293"/>
      <c r="F28" s="293"/>
      <c r="G28" s="293"/>
      <c r="H28" s="293"/>
      <c r="I28" s="293"/>
      <c r="J28" s="293"/>
      <c r="K28" s="293"/>
      <c r="L28" s="293"/>
      <c r="M28" s="293"/>
      <c r="N28" s="293"/>
      <c r="O28" s="293"/>
      <c r="P28" s="293"/>
      <c r="Q28" s="293"/>
      <c r="R28" s="14"/>
      <c r="S28" s="115">
        <v>17</v>
      </c>
      <c r="T28" s="218">
        <v>17</v>
      </c>
    </row>
    <row r="29" spans="1:20" ht="13.5">
      <c r="A29" s="14"/>
      <c r="B29" s="14"/>
      <c r="C29" s="14"/>
      <c r="D29" s="293"/>
      <c r="E29" s="293"/>
      <c r="F29" s="293"/>
      <c r="G29" s="293"/>
      <c r="H29" s="293"/>
      <c r="I29" s="293"/>
      <c r="J29" s="293"/>
      <c r="K29" s="293"/>
      <c r="L29" s="293"/>
      <c r="M29" s="293"/>
      <c r="N29" s="293"/>
      <c r="O29" s="293"/>
      <c r="P29" s="293"/>
      <c r="Q29" s="293"/>
      <c r="R29" s="14"/>
      <c r="S29" s="115">
        <v>18</v>
      </c>
      <c r="T29" s="218">
        <v>18</v>
      </c>
    </row>
    <row r="30" spans="1:20" ht="13.5">
      <c r="A30" s="14"/>
      <c r="B30" s="14"/>
      <c r="C30" s="14"/>
      <c r="D30" s="293"/>
      <c r="E30" s="293"/>
      <c r="F30" s="293"/>
      <c r="G30" s="293"/>
      <c r="H30" s="293"/>
      <c r="I30" s="293"/>
      <c r="J30" s="293"/>
      <c r="K30" s="293"/>
      <c r="L30" s="293"/>
      <c r="M30" s="293"/>
      <c r="N30" s="293"/>
      <c r="O30" s="293"/>
      <c r="P30" s="293"/>
      <c r="Q30" s="293"/>
      <c r="R30" s="14"/>
      <c r="S30" s="115">
        <v>19</v>
      </c>
      <c r="T30" s="218">
        <v>19</v>
      </c>
    </row>
    <row r="31" spans="1:20" ht="13.5">
      <c r="A31" s="14"/>
      <c r="B31" s="14"/>
      <c r="C31" s="14"/>
      <c r="D31" s="293"/>
      <c r="E31" s="293"/>
      <c r="F31" s="293"/>
      <c r="G31" s="293"/>
      <c r="H31" s="293"/>
      <c r="I31" s="293"/>
      <c r="J31" s="293"/>
      <c r="K31" s="293"/>
      <c r="R31" s="14"/>
      <c r="S31" s="115">
        <v>20</v>
      </c>
      <c r="T31" s="218">
        <v>20</v>
      </c>
    </row>
    <row r="32" spans="1:20" ht="13.5">
      <c r="A32" s="14"/>
      <c r="B32" s="14"/>
      <c r="C32" s="14"/>
      <c r="D32" s="293"/>
      <c r="E32" s="293"/>
      <c r="F32" s="293"/>
      <c r="G32" s="293"/>
      <c r="H32" s="293"/>
      <c r="I32" s="293"/>
      <c r="J32" s="293"/>
      <c r="K32" s="293"/>
      <c r="R32" s="14"/>
      <c r="S32" s="115">
        <v>21</v>
      </c>
      <c r="T32" s="218">
        <v>21</v>
      </c>
    </row>
    <row r="33" spans="1:20" ht="13.5">
      <c r="A33" s="293"/>
      <c r="B33" s="293"/>
      <c r="C33" s="293"/>
      <c r="D33" s="293"/>
      <c r="E33" s="293"/>
      <c r="F33" s="293"/>
      <c r="G33" s="293"/>
      <c r="H33" s="293"/>
      <c r="I33" s="293"/>
      <c r="J33" s="293"/>
      <c r="K33" s="293"/>
      <c r="S33" s="115">
        <v>22</v>
      </c>
      <c r="T33" s="218">
        <v>22</v>
      </c>
    </row>
    <row r="34" spans="1:20" ht="13.5">
      <c r="A34" s="293"/>
      <c r="B34" s="293"/>
      <c r="C34" s="293"/>
      <c r="D34" s="293"/>
      <c r="E34" s="293"/>
      <c r="F34" s="293"/>
      <c r="G34" s="293"/>
      <c r="H34" s="293"/>
      <c r="I34" s="293"/>
      <c r="J34" s="293"/>
      <c r="K34" s="293"/>
      <c r="S34" s="115">
        <v>23</v>
      </c>
      <c r="T34" s="218">
        <v>23</v>
      </c>
    </row>
    <row r="35" spans="1:20" ht="13.5">
      <c r="A35" s="293"/>
      <c r="B35" s="293"/>
      <c r="C35" s="293"/>
      <c r="D35" s="293"/>
      <c r="E35" s="293"/>
      <c r="F35" s="293"/>
      <c r="G35" s="293"/>
      <c r="H35" s="293"/>
      <c r="I35" s="293"/>
      <c r="J35" s="293"/>
      <c r="K35" s="293"/>
      <c r="S35" s="115">
        <v>24</v>
      </c>
      <c r="T35" s="218">
        <v>24</v>
      </c>
    </row>
    <row r="36" spans="1:20" ht="13.5">
      <c r="A36" s="293"/>
      <c r="B36" s="293"/>
      <c r="C36" s="293"/>
      <c r="D36" s="293"/>
      <c r="E36" s="293"/>
      <c r="F36" s="293"/>
      <c r="G36" s="293"/>
      <c r="H36" s="293"/>
      <c r="I36" s="293"/>
      <c r="J36" s="293"/>
      <c r="K36" s="293"/>
      <c r="S36" s="115">
        <v>25</v>
      </c>
      <c r="T36" s="218">
        <v>25</v>
      </c>
    </row>
    <row r="37" spans="1:20" ht="13.5">
      <c r="A37" s="293"/>
      <c r="B37" s="293"/>
      <c r="C37" s="293"/>
      <c r="D37" s="293"/>
      <c r="E37" s="293"/>
      <c r="F37" s="293"/>
      <c r="G37" s="293"/>
      <c r="H37" s="293"/>
      <c r="I37" s="293"/>
      <c r="J37" s="293"/>
      <c r="K37" s="293"/>
      <c r="S37" s="115">
        <v>26</v>
      </c>
      <c r="T37" s="218">
        <v>26</v>
      </c>
    </row>
    <row r="38" spans="1:20" ht="13.5">
      <c r="A38" s="293"/>
      <c r="B38" s="293"/>
      <c r="C38" s="293"/>
      <c r="D38" s="293"/>
      <c r="E38" s="293"/>
      <c r="F38" s="293"/>
      <c r="G38" s="293"/>
      <c r="H38" s="293"/>
      <c r="I38" s="293"/>
      <c r="J38" s="293"/>
      <c r="K38" s="293"/>
      <c r="S38" s="115">
        <v>27</v>
      </c>
      <c r="T38" s="218">
        <v>27</v>
      </c>
    </row>
    <row r="39" spans="1:20" ht="13.5">
      <c r="A39" s="293"/>
      <c r="B39" s="293"/>
      <c r="C39" s="293"/>
      <c r="D39" s="293"/>
      <c r="E39" s="293"/>
      <c r="F39" s="293"/>
      <c r="G39" s="293"/>
      <c r="H39" s="293"/>
      <c r="I39" s="293"/>
      <c r="J39" s="293"/>
      <c r="K39" s="293"/>
      <c r="S39" s="115">
        <v>28</v>
      </c>
      <c r="T39" s="218">
        <v>28</v>
      </c>
    </row>
    <row r="40" spans="19:20" ht="13.5">
      <c r="S40" s="115">
        <v>29</v>
      </c>
      <c r="T40" s="218">
        <v>29</v>
      </c>
    </row>
    <row r="41" spans="19:20" ht="13.5">
      <c r="S41" s="115">
        <v>30</v>
      </c>
      <c r="T41" s="218">
        <v>30</v>
      </c>
    </row>
    <row r="42" spans="19:20" ht="13.5">
      <c r="S42" s="115">
        <v>31</v>
      </c>
      <c r="T42" s="218">
        <v>31</v>
      </c>
    </row>
    <row r="43" spans="19:20" ht="13.5">
      <c r="S43" s="115">
        <v>32</v>
      </c>
      <c r="T43" s="218">
        <v>32</v>
      </c>
    </row>
    <row r="44" spans="19:20" ht="13.5">
      <c r="S44" s="115">
        <v>33</v>
      </c>
      <c r="T44" s="218">
        <v>33</v>
      </c>
    </row>
    <row r="45" spans="19:20" ht="13.5">
      <c r="S45" s="115">
        <v>34</v>
      </c>
      <c r="T45" s="218">
        <v>34</v>
      </c>
    </row>
    <row r="46" spans="19:20" ht="13.5">
      <c r="S46" s="115">
        <v>35</v>
      </c>
      <c r="T46" s="218">
        <v>35</v>
      </c>
    </row>
    <row r="47" spans="19:20" ht="13.5">
      <c r="S47" s="115">
        <v>36</v>
      </c>
      <c r="T47" s="218">
        <v>36</v>
      </c>
    </row>
    <row r="48" spans="19:20" ht="13.5">
      <c r="S48" s="115">
        <v>37</v>
      </c>
      <c r="T48" s="218">
        <v>37</v>
      </c>
    </row>
    <row r="49" spans="19:20" ht="13.5">
      <c r="S49" s="115">
        <v>38</v>
      </c>
      <c r="T49" s="218">
        <v>38</v>
      </c>
    </row>
    <row r="50" spans="19:20" ht="13.5">
      <c r="S50" s="115">
        <v>39</v>
      </c>
      <c r="T50" s="218">
        <v>39</v>
      </c>
    </row>
    <row r="51" spans="19:20" ht="13.5">
      <c r="S51" s="115">
        <v>40</v>
      </c>
      <c r="T51" s="218">
        <v>40</v>
      </c>
    </row>
    <row r="52" spans="19:20" ht="13.5">
      <c r="S52" s="115">
        <v>41</v>
      </c>
      <c r="T52" s="218">
        <v>41</v>
      </c>
    </row>
    <row r="53" spans="19:20" ht="13.5">
      <c r="S53" s="115">
        <v>42</v>
      </c>
      <c r="T53" s="218">
        <v>42</v>
      </c>
    </row>
    <row r="54" spans="19:20" ht="13.5">
      <c r="S54" s="115">
        <v>43</v>
      </c>
      <c r="T54" s="218">
        <v>43</v>
      </c>
    </row>
    <row r="55" spans="19:20" ht="13.5">
      <c r="S55" s="115">
        <v>44</v>
      </c>
      <c r="T55" s="218">
        <v>44</v>
      </c>
    </row>
    <row r="56" spans="19:20" ht="13.5">
      <c r="S56" s="115">
        <v>45</v>
      </c>
      <c r="T56" s="218">
        <v>45</v>
      </c>
    </row>
    <row r="57" spans="19:20" ht="13.5">
      <c r="S57" s="115">
        <v>46</v>
      </c>
      <c r="T57" s="218">
        <v>46</v>
      </c>
    </row>
    <row r="58" spans="19:20" ht="13.5">
      <c r="S58" s="115">
        <v>47</v>
      </c>
      <c r="T58" s="218">
        <v>47</v>
      </c>
    </row>
    <row r="59" spans="19:20" ht="13.5">
      <c r="S59" s="115">
        <v>48</v>
      </c>
      <c r="T59" s="218">
        <v>48</v>
      </c>
    </row>
    <row r="60" spans="19:20" ht="13.5">
      <c r="S60" s="115">
        <v>49</v>
      </c>
      <c r="T60" s="218">
        <v>49</v>
      </c>
    </row>
    <row r="61" spans="19:20" ht="13.5">
      <c r="S61" s="115">
        <v>50</v>
      </c>
      <c r="T61" s="218">
        <v>50</v>
      </c>
    </row>
    <row r="62" spans="19:20" ht="13.5">
      <c r="S62" s="115">
        <v>51</v>
      </c>
      <c r="T62" s="115">
        <v>51</v>
      </c>
    </row>
    <row r="63" spans="19:20" ht="13.5">
      <c r="S63" s="115">
        <v>52</v>
      </c>
      <c r="T63" s="115">
        <v>52</v>
      </c>
    </row>
    <row r="64" spans="19:20" ht="13.5">
      <c r="S64" s="115">
        <v>53</v>
      </c>
      <c r="T64" s="115">
        <v>53</v>
      </c>
    </row>
    <row r="65" spans="19:20" ht="13.5">
      <c r="S65" s="115">
        <v>54</v>
      </c>
      <c r="T65" s="115">
        <v>54</v>
      </c>
    </row>
    <row r="66" spans="19:20" ht="13.5">
      <c r="S66" s="115">
        <v>55</v>
      </c>
      <c r="T66" s="115">
        <v>55</v>
      </c>
    </row>
    <row r="67" spans="19:20" ht="13.5">
      <c r="S67" s="115">
        <v>56</v>
      </c>
      <c r="T67" s="115">
        <v>56</v>
      </c>
    </row>
    <row r="68" spans="19:20" ht="13.5">
      <c r="S68" s="115">
        <v>57</v>
      </c>
      <c r="T68" s="115">
        <v>57</v>
      </c>
    </row>
    <row r="69" spans="19:20" ht="13.5">
      <c r="S69" s="115">
        <v>58</v>
      </c>
      <c r="T69" s="115">
        <v>58</v>
      </c>
    </row>
    <row r="70" spans="19:20" ht="13.5">
      <c r="S70" s="115">
        <v>59</v>
      </c>
      <c r="T70" s="115">
        <v>59</v>
      </c>
    </row>
    <row r="71" spans="19:20" ht="13.5">
      <c r="S71" s="115">
        <v>60</v>
      </c>
      <c r="T71" s="115">
        <v>60</v>
      </c>
    </row>
  </sheetData>
  <sheetProtection/>
  <mergeCells count="10">
    <mergeCell ref="B2:D2"/>
    <mergeCell ref="D11:E11"/>
    <mergeCell ref="D15:E15"/>
    <mergeCell ref="S10:S11"/>
    <mergeCell ref="T10:T11"/>
    <mergeCell ref="S8:T9"/>
    <mergeCell ref="M11:N11"/>
    <mergeCell ref="M15:N15"/>
    <mergeCell ref="P11:Q11"/>
    <mergeCell ref="P15:Q15"/>
  </mergeCells>
  <printOptions/>
  <pageMargins left="0.75" right="0.75" top="1" bottom="1" header="0.512" footer="0.51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46"/>
  </sheetPr>
  <dimension ref="A1:O97"/>
  <sheetViews>
    <sheetView showGridLines="0" zoomScalePageLayoutView="0" workbookViewId="0" topLeftCell="A1">
      <selection activeCell="B38" sqref="B38"/>
    </sheetView>
  </sheetViews>
  <sheetFormatPr defaultColWidth="9" defaultRowHeight="15"/>
  <cols>
    <col min="1" max="1" width="2.69921875" style="2" customWidth="1"/>
    <col min="2" max="2" width="13.19921875" style="2" customWidth="1"/>
    <col min="3" max="4" width="9" style="2" customWidth="1"/>
    <col min="5" max="5" width="13.59765625" style="2" customWidth="1"/>
    <col min="6" max="7" width="9" style="2" customWidth="1"/>
    <col min="8" max="8" width="9" style="3" customWidth="1"/>
    <col min="9" max="9" width="2.69921875" style="2" customWidth="1"/>
    <col min="10" max="10" width="6.59765625" style="14" customWidth="1"/>
    <col min="11" max="11" width="13.19921875" style="2" customWidth="1"/>
    <col min="12" max="16384" width="9" style="2" customWidth="1"/>
  </cols>
  <sheetData>
    <row r="1" spans="1:15" ht="14.25" thickTop="1">
      <c r="A1" s="238"/>
      <c r="B1" s="64" t="s">
        <v>431</v>
      </c>
      <c r="C1" s="64" t="s">
        <v>61</v>
      </c>
      <c r="D1" s="64" t="s">
        <v>62</v>
      </c>
      <c r="E1" s="64" t="s">
        <v>432</v>
      </c>
      <c r="F1" s="64" t="s">
        <v>63</v>
      </c>
      <c r="G1" s="64" t="s">
        <v>64</v>
      </c>
      <c r="H1" s="65" t="s">
        <v>55</v>
      </c>
      <c r="K1" s="276" t="s">
        <v>435</v>
      </c>
      <c r="L1" s="585" t="s">
        <v>436</v>
      </c>
      <c r="M1" s="585"/>
      <c r="N1" s="585"/>
      <c r="O1" s="585"/>
    </row>
    <row r="2" spans="1:11" ht="13.5">
      <c r="A2" s="239"/>
      <c r="B2" s="241" t="str">
        <f>'素データ'!Z7</f>
        <v>ディアス</v>
      </c>
      <c r="C2" s="10"/>
      <c r="D2" s="10"/>
      <c r="E2" s="10"/>
      <c r="F2" s="10"/>
      <c r="G2" s="10"/>
      <c r="H2" s="66" t="s">
        <v>53</v>
      </c>
      <c r="J2" s="14" t="s">
        <v>69</v>
      </c>
      <c r="K2" s="237" t="s">
        <v>70</v>
      </c>
    </row>
    <row r="3" spans="1:11" ht="13.5">
      <c r="A3" s="239"/>
      <c r="B3" s="13" t="s">
        <v>431</v>
      </c>
      <c r="C3" s="13" t="s">
        <v>61</v>
      </c>
      <c r="D3" s="13" t="s">
        <v>62</v>
      </c>
      <c r="E3" s="13" t="s">
        <v>433</v>
      </c>
      <c r="F3" s="13" t="s">
        <v>63</v>
      </c>
      <c r="G3" s="13" t="s">
        <v>64</v>
      </c>
      <c r="H3" s="67" t="s">
        <v>55</v>
      </c>
      <c r="J3" s="275" t="s">
        <v>437</v>
      </c>
      <c r="K3" s="237"/>
    </row>
    <row r="4" spans="1:11" ht="13.5">
      <c r="A4" s="239"/>
      <c r="B4" s="15"/>
      <c r="C4" s="10"/>
      <c r="D4" s="10"/>
      <c r="E4" s="10" t="str">
        <f>'素データ'!Z7</f>
        <v>ディアス</v>
      </c>
      <c r="F4" s="10"/>
      <c r="G4" s="10"/>
      <c r="H4" s="66" t="s">
        <v>54</v>
      </c>
      <c r="J4" s="14" t="s">
        <v>69</v>
      </c>
      <c r="K4" s="237" t="s">
        <v>71</v>
      </c>
    </row>
    <row r="5" spans="1:11" ht="13.5">
      <c r="A5" s="239"/>
      <c r="B5" s="13" t="s">
        <v>434</v>
      </c>
      <c r="C5" s="13" t="s">
        <v>61</v>
      </c>
      <c r="D5" s="13" t="s">
        <v>62</v>
      </c>
      <c r="E5" s="13" t="s">
        <v>433</v>
      </c>
      <c r="F5" s="13" t="s">
        <v>63</v>
      </c>
      <c r="G5" s="13" t="s">
        <v>64</v>
      </c>
      <c r="H5" s="67" t="s">
        <v>55</v>
      </c>
      <c r="K5" s="237"/>
    </row>
    <row r="6" spans="1:11" ht="13.5">
      <c r="A6" s="239"/>
      <c r="B6" s="10" t="str">
        <f>'素データ'!Z7</f>
        <v>ディアス</v>
      </c>
      <c r="C6" s="10"/>
      <c r="D6" s="10"/>
      <c r="E6" s="10"/>
      <c r="F6" s="10"/>
      <c r="G6" s="10"/>
      <c r="H6" s="66" t="s">
        <v>54</v>
      </c>
      <c r="J6" s="14" t="s">
        <v>69</v>
      </c>
      <c r="K6" s="237" t="s">
        <v>70</v>
      </c>
    </row>
    <row r="7" spans="1:11" ht="13.5">
      <c r="A7" s="239"/>
      <c r="B7" s="13" t="s">
        <v>434</v>
      </c>
      <c r="C7" s="13" t="s">
        <v>61</v>
      </c>
      <c r="D7" s="13" t="s">
        <v>62</v>
      </c>
      <c r="E7" s="13" t="s">
        <v>433</v>
      </c>
      <c r="F7" s="13" t="s">
        <v>63</v>
      </c>
      <c r="G7" s="13" t="s">
        <v>64</v>
      </c>
      <c r="H7" s="67" t="s">
        <v>55</v>
      </c>
      <c r="J7" s="277" t="s">
        <v>438</v>
      </c>
      <c r="K7" s="237"/>
    </row>
    <row r="8" spans="1:11" ht="13.5">
      <c r="A8" s="239"/>
      <c r="B8" s="15"/>
      <c r="C8" s="10"/>
      <c r="D8" s="10"/>
      <c r="E8" s="10" t="str">
        <f>'素データ'!Z7</f>
        <v>ディアス</v>
      </c>
      <c r="F8" s="10"/>
      <c r="G8" s="10"/>
      <c r="H8" s="66" t="s">
        <v>53</v>
      </c>
      <c r="J8" s="14" t="s">
        <v>69</v>
      </c>
      <c r="K8" s="237" t="s">
        <v>71</v>
      </c>
    </row>
    <row r="9" spans="1:11" ht="13.5">
      <c r="A9" s="239"/>
      <c r="B9" s="13" t="s">
        <v>434</v>
      </c>
      <c r="C9" s="13" t="s">
        <v>61</v>
      </c>
      <c r="D9" s="13" t="s">
        <v>62</v>
      </c>
      <c r="E9" s="13" t="s">
        <v>433</v>
      </c>
      <c r="F9" s="13" t="s">
        <v>63</v>
      </c>
      <c r="G9" s="13" t="s">
        <v>64</v>
      </c>
      <c r="H9" s="67" t="s">
        <v>55</v>
      </c>
      <c r="K9" s="237"/>
    </row>
    <row r="10" spans="1:11" ht="13.5">
      <c r="A10" s="239"/>
      <c r="B10" s="10" t="str">
        <f>'素データ'!Z7</f>
        <v>ディアス</v>
      </c>
      <c r="C10" s="10"/>
      <c r="D10" s="10"/>
      <c r="E10" s="10"/>
      <c r="F10" s="10"/>
      <c r="G10" s="10"/>
      <c r="H10" s="66" t="s">
        <v>57</v>
      </c>
      <c r="J10" s="14" t="s">
        <v>69</v>
      </c>
      <c r="K10" s="237" t="s">
        <v>70</v>
      </c>
    </row>
    <row r="11" spans="1:11" ht="13.5">
      <c r="A11" s="239"/>
      <c r="B11" s="13" t="s">
        <v>434</v>
      </c>
      <c r="C11" s="13" t="s">
        <v>61</v>
      </c>
      <c r="D11" s="13" t="s">
        <v>62</v>
      </c>
      <c r="E11" s="13" t="s">
        <v>433</v>
      </c>
      <c r="F11" s="13" t="s">
        <v>63</v>
      </c>
      <c r="G11" s="13" t="s">
        <v>64</v>
      </c>
      <c r="H11" s="67" t="s">
        <v>55</v>
      </c>
      <c r="J11" s="278" t="s">
        <v>4</v>
      </c>
      <c r="K11" s="237"/>
    </row>
    <row r="12" spans="1:11" ht="14.25" thickBot="1">
      <c r="A12" s="240"/>
      <c r="B12" s="68"/>
      <c r="C12" s="69"/>
      <c r="D12" s="69"/>
      <c r="E12" s="69" t="str">
        <f>'素データ'!Z7</f>
        <v>ディアス</v>
      </c>
      <c r="F12" s="69"/>
      <c r="G12" s="69"/>
      <c r="H12" s="70" t="s">
        <v>57</v>
      </c>
      <c r="J12" s="14" t="s">
        <v>69</v>
      </c>
      <c r="K12" s="237" t="s">
        <v>71</v>
      </c>
    </row>
    <row r="13" spans="1:8" ht="14.25" thickTop="1">
      <c r="A13" s="71"/>
      <c r="B13" s="64" t="s">
        <v>434</v>
      </c>
      <c r="C13" s="64" t="s">
        <v>61</v>
      </c>
      <c r="D13" s="64" t="s">
        <v>62</v>
      </c>
      <c r="E13" s="64" t="s">
        <v>433</v>
      </c>
      <c r="F13" s="64" t="s">
        <v>63</v>
      </c>
      <c r="G13" s="64" t="s">
        <v>64</v>
      </c>
      <c r="H13" s="65" t="s">
        <v>55</v>
      </c>
    </row>
    <row r="14" spans="1:11" ht="13.5">
      <c r="A14" s="72"/>
      <c r="B14" s="61" t="str">
        <f>'素データ'!Z8</f>
        <v>ベアーズ</v>
      </c>
      <c r="C14" s="10"/>
      <c r="D14" s="10"/>
      <c r="E14" s="10"/>
      <c r="F14" s="10"/>
      <c r="G14" s="10"/>
      <c r="H14" s="66" t="s">
        <v>53</v>
      </c>
      <c r="J14" s="14" t="s">
        <v>69</v>
      </c>
      <c r="K14" s="55" t="s">
        <v>70</v>
      </c>
    </row>
    <row r="15" spans="1:11" ht="13.5">
      <c r="A15" s="72"/>
      <c r="B15" s="13" t="s">
        <v>434</v>
      </c>
      <c r="C15" s="13" t="s">
        <v>61</v>
      </c>
      <c r="D15" s="13" t="s">
        <v>62</v>
      </c>
      <c r="E15" s="13" t="s">
        <v>433</v>
      </c>
      <c r="F15" s="13" t="s">
        <v>63</v>
      </c>
      <c r="G15" s="13" t="s">
        <v>64</v>
      </c>
      <c r="H15" s="67" t="s">
        <v>55</v>
      </c>
      <c r="K15" s="55"/>
    </row>
    <row r="16" spans="1:11" ht="13.5">
      <c r="A16" s="72"/>
      <c r="B16" s="15"/>
      <c r="C16" s="10"/>
      <c r="D16" s="10"/>
      <c r="E16" s="10" t="str">
        <f>'素データ'!Z8</f>
        <v>ベアーズ</v>
      </c>
      <c r="F16" s="10"/>
      <c r="G16" s="10"/>
      <c r="H16" s="66" t="s">
        <v>54</v>
      </c>
      <c r="J16" s="14" t="s">
        <v>69</v>
      </c>
      <c r="K16" s="55" t="s">
        <v>71</v>
      </c>
    </row>
    <row r="17" spans="1:11" ht="13.5">
      <c r="A17" s="72"/>
      <c r="B17" s="13" t="s">
        <v>434</v>
      </c>
      <c r="C17" s="13" t="s">
        <v>61</v>
      </c>
      <c r="D17" s="13" t="s">
        <v>62</v>
      </c>
      <c r="E17" s="13" t="s">
        <v>433</v>
      </c>
      <c r="F17" s="13" t="s">
        <v>63</v>
      </c>
      <c r="G17" s="13" t="s">
        <v>64</v>
      </c>
      <c r="H17" s="67" t="s">
        <v>55</v>
      </c>
      <c r="K17" s="55"/>
    </row>
    <row r="18" spans="1:11" ht="13.5">
      <c r="A18" s="72"/>
      <c r="B18" s="10" t="str">
        <f>'素データ'!Z8</f>
        <v>ベアーズ</v>
      </c>
      <c r="C18" s="10"/>
      <c r="D18" s="10"/>
      <c r="E18" s="10"/>
      <c r="F18" s="10"/>
      <c r="G18" s="10"/>
      <c r="H18" s="66" t="s">
        <v>54</v>
      </c>
      <c r="J18" s="14" t="s">
        <v>69</v>
      </c>
      <c r="K18" s="55" t="s">
        <v>70</v>
      </c>
    </row>
    <row r="19" spans="1:11" ht="13.5">
      <c r="A19" s="72"/>
      <c r="B19" s="13" t="s">
        <v>434</v>
      </c>
      <c r="C19" s="13" t="s">
        <v>61</v>
      </c>
      <c r="D19" s="13" t="s">
        <v>62</v>
      </c>
      <c r="E19" s="13" t="s">
        <v>433</v>
      </c>
      <c r="F19" s="13" t="s">
        <v>63</v>
      </c>
      <c r="G19" s="13" t="s">
        <v>64</v>
      </c>
      <c r="H19" s="67" t="s">
        <v>55</v>
      </c>
      <c r="K19" s="55"/>
    </row>
    <row r="20" spans="1:11" ht="13.5">
      <c r="A20" s="72"/>
      <c r="B20" s="15"/>
      <c r="C20" s="10"/>
      <c r="D20" s="10"/>
      <c r="E20" s="10" t="str">
        <f>'素データ'!Z8</f>
        <v>ベアーズ</v>
      </c>
      <c r="F20" s="10"/>
      <c r="G20" s="10"/>
      <c r="H20" s="66" t="s">
        <v>53</v>
      </c>
      <c r="J20" s="14" t="s">
        <v>69</v>
      </c>
      <c r="K20" s="55" t="s">
        <v>71</v>
      </c>
    </row>
    <row r="21" spans="1:11" ht="13.5">
      <c r="A21" s="72"/>
      <c r="B21" s="13" t="s">
        <v>434</v>
      </c>
      <c r="C21" s="13" t="s">
        <v>61</v>
      </c>
      <c r="D21" s="13" t="s">
        <v>62</v>
      </c>
      <c r="E21" s="13" t="s">
        <v>433</v>
      </c>
      <c r="F21" s="13" t="s">
        <v>63</v>
      </c>
      <c r="G21" s="13" t="s">
        <v>64</v>
      </c>
      <c r="H21" s="67" t="s">
        <v>55</v>
      </c>
      <c r="K21" s="55"/>
    </row>
    <row r="22" spans="1:11" ht="13.5">
      <c r="A22" s="72"/>
      <c r="B22" s="10" t="str">
        <f>'素データ'!Z8</f>
        <v>ベアーズ</v>
      </c>
      <c r="C22" s="10"/>
      <c r="D22" s="10"/>
      <c r="E22" s="10"/>
      <c r="F22" s="10"/>
      <c r="G22" s="10"/>
      <c r="H22" s="66" t="s">
        <v>57</v>
      </c>
      <c r="J22" s="14" t="s">
        <v>69</v>
      </c>
      <c r="K22" s="55" t="s">
        <v>70</v>
      </c>
    </row>
    <row r="23" spans="1:11" ht="13.5">
      <c r="A23" s="72"/>
      <c r="B23" s="13" t="s">
        <v>434</v>
      </c>
      <c r="C23" s="13" t="s">
        <v>61</v>
      </c>
      <c r="D23" s="13" t="s">
        <v>62</v>
      </c>
      <c r="E23" s="13" t="s">
        <v>433</v>
      </c>
      <c r="F23" s="13" t="s">
        <v>63</v>
      </c>
      <c r="G23" s="13" t="s">
        <v>64</v>
      </c>
      <c r="H23" s="67" t="s">
        <v>55</v>
      </c>
      <c r="K23" s="55"/>
    </row>
    <row r="24" spans="1:11" ht="14.25" thickBot="1">
      <c r="A24" s="73"/>
      <c r="B24" s="68"/>
      <c r="C24" s="69"/>
      <c r="D24" s="69"/>
      <c r="E24" s="69" t="str">
        <f>'素データ'!Z8</f>
        <v>ベアーズ</v>
      </c>
      <c r="F24" s="69"/>
      <c r="G24" s="69"/>
      <c r="H24" s="70" t="s">
        <v>57</v>
      </c>
      <c r="J24" s="14" t="s">
        <v>69</v>
      </c>
      <c r="K24" s="55" t="s">
        <v>71</v>
      </c>
    </row>
    <row r="25" spans="1:8" ht="14.25" thickTop="1">
      <c r="A25" s="74"/>
      <c r="B25" s="64" t="s">
        <v>434</v>
      </c>
      <c r="C25" s="64" t="s">
        <v>61</v>
      </c>
      <c r="D25" s="64" t="s">
        <v>62</v>
      </c>
      <c r="E25" s="64" t="s">
        <v>433</v>
      </c>
      <c r="F25" s="64" t="s">
        <v>63</v>
      </c>
      <c r="G25" s="64" t="s">
        <v>64</v>
      </c>
      <c r="H25" s="65" t="s">
        <v>55</v>
      </c>
    </row>
    <row r="26" spans="1:11" ht="13.5">
      <c r="A26" s="75"/>
      <c r="B26" s="62" t="str">
        <f>'素データ'!Z9</f>
        <v>エンジェルス</v>
      </c>
      <c r="C26" s="10"/>
      <c r="D26" s="10"/>
      <c r="E26" s="10"/>
      <c r="F26" s="10"/>
      <c r="G26" s="10"/>
      <c r="H26" s="66" t="s">
        <v>53</v>
      </c>
      <c r="J26" s="14" t="s">
        <v>69</v>
      </c>
      <c r="K26" s="59" t="s">
        <v>70</v>
      </c>
    </row>
    <row r="27" spans="1:11" ht="13.5">
      <c r="A27" s="75"/>
      <c r="B27" s="13" t="s">
        <v>434</v>
      </c>
      <c r="C27" s="13" t="s">
        <v>61</v>
      </c>
      <c r="D27" s="13" t="s">
        <v>62</v>
      </c>
      <c r="E27" s="13" t="s">
        <v>433</v>
      </c>
      <c r="F27" s="13" t="s">
        <v>63</v>
      </c>
      <c r="G27" s="13" t="s">
        <v>64</v>
      </c>
      <c r="H27" s="67" t="s">
        <v>55</v>
      </c>
      <c r="K27" s="59"/>
    </row>
    <row r="28" spans="1:11" ht="13.5">
      <c r="A28" s="75"/>
      <c r="B28" s="15"/>
      <c r="C28" s="10"/>
      <c r="D28" s="10"/>
      <c r="E28" s="10" t="str">
        <f>'素データ'!Z9</f>
        <v>エンジェルス</v>
      </c>
      <c r="F28" s="10"/>
      <c r="G28" s="10"/>
      <c r="H28" s="66" t="s">
        <v>54</v>
      </c>
      <c r="J28" s="14" t="s">
        <v>69</v>
      </c>
      <c r="K28" s="59" t="s">
        <v>71</v>
      </c>
    </row>
    <row r="29" spans="1:11" ht="13.5">
      <c r="A29" s="75"/>
      <c r="B29" s="13" t="s">
        <v>434</v>
      </c>
      <c r="C29" s="13" t="s">
        <v>61</v>
      </c>
      <c r="D29" s="13" t="s">
        <v>62</v>
      </c>
      <c r="E29" s="13" t="s">
        <v>433</v>
      </c>
      <c r="F29" s="13" t="s">
        <v>63</v>
      </c>
      <c r="G29" s="13" t="s">
        <v>64</v>
      </c>
      <c r="H29" s="67" t="s">
        <v>55</v>
      </c>
      <c r="K29" s="59"/>
    </row>
    <row r="30" spans="1:11" ht="13.5">
      <c r="A30" s="75"/>
      <c r="B30" s="10" t="str">
        <f>'素データ'!Z9</f>
        <v>エンジェルス</v>
      </c>
      <c r="C30" s="10"/>
      <c r="D30" s="10"/>
      <c r="E30" s="10"/>
      <c r="F30" s="10"/>
      <c r="G30" s="10"/>
      <c r="H30" s="66" t="s">
        <v>54</v>
      </c>
      <c r="J30" s="14" t="s">
        <v>69</v>
      </c>
      <c r="K30" s="59" t="s">
        <v>70</v>
      </c>
    </row>
    <row r="31" spans="1:11" ht="13.5">
      <c r="A31" s="75"/>
      <c r="B31" s="13" t="s">
        <v>434</v>
      </c>
      <c r="C31" s="13" t="s">
        <v>61</v>
      </c>
      <c r="D31" s="13" t="s">
        <v>62</v>
      </c>
      <c r="E31" s="13" t="s">
        <v>433</v>
      </c>
      <c r="F31" s="13" t="s">
        <v>63</v>
      </c>
      <c r="G31" s="13" t="s">
        <v>64</v>
      </c>
      <c r="H31" s="67" t="s">
        <v>55</v>
      </c>
      <c r="K31" s="59"/>
    </row>
    <row r="32" spans="1:11" ht="13.5">
      <c r="A32" s="75"/>
      <c r="B32" s="15"/>
      <c r="C32" s="10"/>
      <c r="D32" s="10"/>
      <c r="E32" s="10" t="str">
        <f>'素データ'!Z9</f>
        <v>エンジェルス</v>
      </c>
      <c r="F32" s="10"/>
      <c r="G32" s="10"/>
      <c r="H32" s="66" t="s">
        <v>53</v>
      </c>
      <c r="J32" s="14" t="s">
        <v>69</v>
      </c>
      <c r="K32" s="59" t="s">
        <v>71</v>
      </c>
    </row>
    <row r="33" spans="1:11" ht="13.5">
      <c r="A33" s="75"/>
      <c r="B33" s="13" t="s">
        <v>434</v>
      </c>
      <c r="C33" s="13" t="s">
        <v>61</v>
      </c>
      <c r="D33" s="13" t="s">
        <v>62</v>
      </c>
      <c r="E33" s="13" t="s">
        <v>433</v>
      </c>
      <c r="F33" s="13" t="s">
        <v>63</v>
      </c>
      <c r="G33" s="13" t="s">
        <v>64</v>
      </c>
      <c r="H33" s="67" t="s">
        <v>55</v>
      </c>
      <c r="K33" s="59"/>
    </row>
    <row r="34" spans="1:11" ht="13.5">
      <c r="A34" s="75"/>
      <c r="B34" s="10" t="str">
        <f>'素データ'!Z9</f>
        <v>エンジェルス</v>
      </c>
      <c r="C34" s="10"/>
      <c r="D34" s="10"/>
      <c r="E34" s="10"/>
      <c r="F34" s="10"/>
      <c r="G34" s="10"/>
      <c r="H34" s="66" t="s">
        <v>57</v>
      </c>
      <c r="J34" s="14" t="s">
        <v>69</v>
      </c>
      <c r="K34" s="59" t="s">
        <v>70</v>
      </c>
    </row>
    <row r="35" spans="1:11" ht="13.5">
      <c r="A35" s="75"/>
      <c r="B35" s="13" t="s">
        <v>434</v>
      </c>
      <c r="C35" s="13" t="s">
        <v>61</v>
      </c>
      <c r="D35" s="13" t="s">
        <v>62</v>
      </c>
      <c r="E35" s="13" t="s">
        <v>433</v>
      </c>
      <c r="F35" s="13" t="s">
        <v>63</v>
      </c>
      <c r="G35" s="13" t="s">
        <v>64</v>
      </c>
      <c r="H35" s="67" t="s">
        <v>55</v>
      </c>
      <c r="K35" s="59"/>
    </row>
    <row r="36" spans="1:11" ht="14.25" thickBot="1">
      <c r="A36" s="76"/>
      <c r="B36" s="68"/>
      <c r="C36" s="69"/>
      <c r="D36" s="69"/>
      <c r="E36" s="69" t="str">
        <f>'素データ'!Z9</f>
        <v>エンジェルス</v>
      </c>
      <c r="F36" s="69"/>
      <c r="G36" s="69"/>
      <c r="H36" s="70" t="s">
        <v>57</v>
      </c>
      <c r="J36" s="14" t="s">
        <v>69</v>
      </c>
      <c r="K36" s="59" t="s">
        <v>71</v>
      </c>
    </row>
    <row r="37" spans="1:8" ht="14.25" thickTop="1">
      <c r="A37" s="77"/>
      <c r="B37" s="64" t="s">
        <v>434</v>
      </c>
      <c r="C37" s="64" t="s">
        <v>61</v>
      </c>
      <c r="D37" s="64" t="s">
        <v>62</v>
      </c>
      <c r="E37" s="64" t="s">
        <v>433</v>
      </c>
      <c r="F37" s="64" t="s">
        <v>63</v>
      </c>
      <c r="G37" s="64" t="s">
        <v>64</v>
      </c>
      <c r="H37" s="65" t="s">
        <v>55</v>
      </c>
    </row>
    <row r="38" spans="1:11" ht="13.5">
      <c r="A38" s="78"/>
      <c r="B38" s="63" t="str">
        <f>'素データ'!Z10</f>
        <v>サンデーズＪｒ</v>
      </c>
      <c r="C38" s="10"/>
      <c r="D38" s="10"/>
      <c r="E38" s="10"/>
      <c r="F38" s="10"/>
      <c r="G38" s="10"/>
      <c r="H38" s="66" t="s">
        <v>53</v>
      </c>
      <c r="J38" s="14" t="s">
        <v>69</v>
      </c>
      <c r="K38" s="60" t="s">
        <v>70</v>
      </c>
    </row>
    <row r="39" spans="1:11" ht="13.5">
      <c r="A39" s="78"/>
      <c r="B39" s="13" t="s">
        <v>434</v>
      </c>
      <c r="C39" s="13" t="s">
        <v>61</v>
      </c>
      <c r="D39" s="13" t="s">
        <v>62</v>
      </c>
      <c r="E39" s="13" t="s">
        <v>433</v>
      </c>
      <c r="F39" s="13" t="s">
        <v>63</v>
      </c>
      <c r="G39" s="13" t="s">
        <v>64</v>
      </c>
      <c r="H39" s="67" t="s">
        <v>55</v>
      </c>
      <c r="K39" s="60"/>
    </row>
    <row r="40" spans="1:11" ht="13.5">
      <c r="A40" s="78"/>
      <c r="B40" s="15"/>
      <c r="C40" s="10"/>
      <c r="D40" s="10"/>
      <c r="E40" s="10" t="str">
        <f>'素データ'!Z10</f>
        <v>サンデーズＪｒ</v>
      </c>
      <c r="F40" s="10"/>
      <c r="G40" s="10"/>
      <c r="H40" s="66" t="s">
        <v>54</v>
      </c>
      <c r="J40" s="14" t="s">
        <v>69</v>
      </c>
      <c r="K40" s="60" t="s">
        <v>71</v>
      </c>
    </row>
    <row r="41" spans="1:11" ht="13.5">
      <c r="A41" s="78"/>
      <c r="B41" s="13" t="s">
        <v>434</v>
      </c>
      <c r="C41" s="13" t="s">
        <v>61</v>
      </c>
      <c r="D41" s="13" t="s">
        <v>62</v>
      </c>
      <c r="E41" s="13" t="s">
        <v>433</v>
      </c>
      <c r="F41" s="13" t="s">
        <v>63</v>
      </c>
      <c r="G41" s="13" t="s">
        <v>64</v>
      </c>
      <c r="H41" s="67" t="s">
        <v>55</v>
      </c>
      <c r="K41" s="60"/>
    </row>
    <row r="42" spans="1:11" ht="13.5">
      <c r="A42" s="78"/>
      <c r="B42" s="10" t="str">
        <f>'素データ'!Z10</f>
        <v>サンデーズＪｒ</v>
      </c>
      <c r="C42" s="10"/>
      <c r="D42" s="10"/>
      <c r="E42" s="10"/>
      <c r="F42" s="10"/>
      <c r="G42" s="10"/>
      <c r="H42" s="66" t="s">
        <v>54</v>
      </c>
      <c r="J42" s="14" t="s">
        <v>69</v>
      </c>
      <c r="K42" s="60" t="s">
        <v>70</v>
      </c>
    </row>
    <row r="43" spans="1:11" ht="13.5">
      <c r="A43" s="78"/>
      <c r="B43" s="13" t="s">
        <v>434</v>
      </c>
      <c r="C43" s="13" t="s">
        <v>61</v>
      </c>
      <c r="D43" s="13" t="s">
        <v>62</v>
      </c>
      <c r="E43" s="13" t="s">
        <v>433</v>
      </c>
      <c r="F43" s="13" t="s">
        <v>63</v>
      </c>
      <c r="G43" s="13" t="s">
        <v>64</v>
      </c>
      <c r="H43" s="67" t="s">
        <v>55</v>
      </c>
      <c r="K43" s="60"/>
    </row>
    <row r="44" spans="1:11" ht="13.5">
      <c r="A44" s="78"/>
      <c r="B44" s="15"/>
      <c r="C44" s="10"/>
      <c r="D44" s="10"/>
      <c r="E44" s="10" t="str">
        <f>'素データ'!Z10</f>
        <v>サンデーズＪｒ</v>
      </c>
      <c r="F44" s="10"/>
      <c r="G44" s="10"/>
      <c r="H44" s="66" t="s">
        <v>53</v>
      </c>
      <c r="J44" s="14" t="s">
        <v>69</v>
      </c>
      <c r="K44" s="60" t="s">
        <v>71</v>
      </c>
    </row>
    <row r="45" spans="1:11" ht="13.5">
      <c r="A45" s="78"/>
      <c r="B45" s="13" t="s">
        <v>434</v>
      </c>
      <c r="C45" s="13" t="s">
        <v>61</v>
      </c>
      <c r="D45" s="13" t="s">
        <v>62</v>
      </c>
      <c r="E45" s="13" t="s">
        <v>433</v>
      </c>
      <c r="F45" s="13" t="s">
        <v>63</v>
      </c>
      <c r="G45" s="13" t="s">
        <v>64</v>
      </c>
      <c r="H45" s="67" t="s">
        <v>55</v>
      </c>
      <c r="K45" s="60"/>
    </row>
    <row r="46" spans="1:11" ht="13.5">
      <c r="A46" s="78"/>
      <c r="B46" s="10" t="str">
        <f>'素データ'!Z10</f>
        <v>サンデーズＪｒ</v>
      </c>
      <c r="C46" s="10"/>
      <c r="D46" s="10"/>
      <c r="E46" s="10"/>
      <c r="F46" s="10"/>
      <c r="G46" s="10"/>
      <c r="H46" s="66" t="s">
        <v>57</v>
      </c>
      <c r="J46" s="14" t="s">
        <v>69</v>
      </c>
      <c r="K46" s="60" t="s">
        <v>70</v>
      </c>
    </row>
    <row r="47" spans="1:11" ht="13.5">
      <c r="A47" s="78"/>
      <c r="B47" s="13" t="s">
        <v>434</v>
      </c>
      <c r="C47" s="13" t="s">
        <v>61</v>
      </c>
      <c r="D47" s="13" t="s">
        <v>62</v>
      </c>
      <c r="E47" s="13" t="s">
        <v>433</v>
      </c>
      <c r="F47" s="13" t="s">
        <v>63</v>
      </c>
      <c r="G47" s="13" t="s">
        <v>64</v>
      </c>
      <c r="H47" s="67" t="s">
        <v>55</v>
      </c>
      <c r="K47" s="60"/>
    </row>
    <row r="48" spans="1:11" ht="14.25" thickBot="1">
      <c r="A48" s="79"/>
      <c r="B48" s="68"/>
      <c r="C48" s="69"/>
      <c r="D48" s="69"/>
      <c r="E48" s="69" t="str">
        <f>'素データ'!Z10</f>
        <v>サンデーズＪｒ</v>
      </c>
      <c r="F48" s="69"/>
      <c r="G48" s="69"/>
      <c r="H48" s="70" t="s">
        <v>57</v>
      </c>
      <c r="J48" s="14" t="s">
        <v>69</v>
      </c>
      <c r="K48" s="60" t="s">
        <v>71</v>
      </c>
    </row>
    <row r="49" spans="1:11" ht="14.25" thickTop="1">
      <c r="A49" s="246"/>
      <c r="B49" s="247" t="s">
        <v>434</v>
      </c>
      <c r="C49" s="247" t="s">
        <v>61</v>
      </c>
      <c r="D49" s="247" t="s">
        <v>62</v>
      </c>
      <c r="E49" s="247" t="s">
        <v>433</v>
      </c>
      <c r="F49" s="247" t="s">
        <v>63</v>
      </c>
      <c r="G49" s="247" t="s">
        <v>64</v>
      </c>
      <c r="H49" s="248" t="s">
        <v>55</v>
      </c>
      <c r="I49" s="249"/>
      <c r="J49" s="249"/>
      <c r="K49" s="249"/>
    </row>
    <row r="50" spans="1:11" ht="13.5">
      <c r="A50" s="250"/>
      <c r="B50" s="251" t="str">
        <f>'素データ'!Z11</f>
        <v>Empty_A</v>
      </c>
      <c r="C50" s="234"/>
      <c r="D50" s="234"/>
      <c r="E50" s="234"/>
      <c r="F50" s="234"/>
      <c r="G50" s="234"/>
      <c r="H50" s="252" t="s">
        <v>53</v>
      </c>
      <c r="I50" s="249"/>
      <c r="J50" s="249" t="s">
        <v>69</v>
      </c>
      <c r="K50" s="253" t="s">
        <v>70</v>
      </c>
    </row>
    <row r="51" spans="1:11" ht="13.5">
      <c r="A51" s="250"/>
      <c r="B51" s="254" t="s">
        <v>434</v>
      </c>
      <c r="C51" s="254" t="s">
        <v>61</v>
      </c>
      <c r="D51" s="254" t="s">
        <v>62</v>
      </c>
      <c r="E51" s="254" t="s">
        <v>433</v>
      </c>
      <c r="F51" s="254" t="s">
        <v>63</v>
      </c>
      <c r="G51" s="254" t="s">
        <v>64</v>
      </c>
      <c r="H51" s="255" t="s">
        <v>55</v>
      </c>
      <c r="I51" s="249"/>
      <c r="J51" s="249"/>
      <c r="K51" s="253"/>
    </row>
    <row r="52" spans="1:11" ht="13.5">
      <c r="A52" s="250"/>
      <c r="B52" s="256"/>
      <c r="C52" s="234"/>
      <c r="D52" s="234"/>
      <c r="E52" s="234" t="str">
        <f>'素データ'!Z11</f>
        <v>Empty_A</v>
      </c>
      <c r="F52" s="234"/>
      <c r="G52" s="234"/>
      <c r="H52" s="252" t="s">
        <v>54</v>
      </c>
      <c r="I52" s="249"/>
      <c r="J52" s="249" t="s">
        <v>69</v>
      </c>
      <c r="K52" s="253" t="s">
        <v>71</v>
      </c>
    </row>
    <row r="53" spans="1:11" ht="13.5">
      <c r="A53" s="250"/>
      <c r="B53" s="254" t="s">
        <v>434</v>
      </c>
      <c r="C53" s="254" t="s">
        <v>61</v>
      </c>
      <c r="D53" s="254" t="s">
        <v>62</v>
      </c>
      <c r="E53" s="254" t="s">
        <v>433</v>
      </c>
      <c r="F53" s="254" t="s">
        <v>63</v>
      </c>
      <c r="G53" s="254" t="s">
        <v>64</v>
      </c>
      <c r="H53" s="255" t="s">
        <v>55</v>
      </c>
      <c r="I53" s="249"/>
      <c r="J53" s="249"/>
      <c r="K53" s="253"/>
    </row>
    <row r="54" spans="1:11" ht="13.5">
      <c r="A54" s="250"/>
      <c r="B54" s="234" t="str">
        <f>'素データ'!Z11</f>
        <v>Empty_A</v>
      </c>
      <c r="C54" s="234"/>
      <c r="D54" s="234"/>
      <c r="E54" s="234"/>
      <c r="F54" s="234"/>
      <c r="G54" s="234"/>
      <c r="H54" s="252" t="s">
        <v>54</v>
      </c>
      <c r="I54" s="249"/>
      <c r="J54" s="249" t="s">
        <v>69</v>
      </c>
      <c r="K54" s="253" t="s">
        <v>70</v>
      </c>
    </row>
    <row r="55" spans="1:11" ht="13.5">
      <c r="A55" s="250"/>
      <c r="B55" s="254" t="s">
        <v>434</v>
      </c>
      <c r="C55" s="254" t="s">
        <v>61</v>
      </c>
      <c r="D55" s="254" t="s">
        <v>62</v>
      </c>
      <c r="E55" s="254" t="s">
        <v>433</v>
      </c>
      <c r="F55" s="254" t="s">
        <v>63</v>
      </c>
      <c r="G55" s="254" t="s">
        <v>64</v>
      </c>
      <c r="H55" s="255" t="s">
        <v>55</v>
      </c>
      <c r="I55" s="249"/>
      <c r="J55" s="249"/>
      <c r="K55" s="253"/>
    </row>
    <row r="56" spans="1:11" ht="13.5">
      <c r="A56" s="250"/>
      <c r="B56" s="256"/>
      <c r="C56" s="234"/>
      <c r="D56" s="234"/>
      <c r="E56" s="234" t="str">
        <f>'素データ'!Z11</f>
        <v>Empty_A</v>
      </c>
      <c r="F56" s="234"/>
      <c r="G56" s="234"/>
      <c r="H56" s="252" t="s">
        <v>53</v>
      </c>
      <c r="I56" s="249"/>
      <c r="J56" s="249" t="s">
        <v>69</v>
      </c>
      <c r="K56" s="253" t="s">
        <v>71</v>
      </c>
    </row>
    <row r="57" spans="1:11" ht="13.5">
      <c r="A57" s="250"/>
      <c r="B57" s="254" t="s">
        <v>434</v>
      </c>
      <c r="C57" s="254" t="s">
        <v>61</v>
      </c>
      <c r="D57" s="254" t="s">
        <v>62</v>
      </c>
      <c r="E57" s="254" t="s">
        <v>433</v>
      </c>
      <c r="F57" s="254" t="s">
        <v>63</v>
      </c>
      <c r="G57" s="254" t="s">
        <v>64</v>
      </c>
      <c r="H57" s="255" t="s">
        <v>55</v>
      </c>
      <c r="I57" s="249"/>
      <c r="J57" s="249"/>
      <c r="K57" s="253"/>
    </row>
    <row r="58" spans="1:11" ht="13.5">
      <c r="A58" s="250"/>
      <c r="B58" s="234" t="str">
        <f>'素データ'!Z11</f>
        <v>Empty_A</v>
      </c>
      <c r="C58" s="234"/>
      <c r="D58" s="234"/>
      <c r="E58" s="234"/>
      <c r="F58" s="234"/>
      <c r="G58" s="234"/>
      <c r="H58" s="252" t="s">
        <v>57</v>
      </c>
      <c r="I58" s="249"/>
      <c r="J58" s="249" t="s">
        <v>69</v>
      </c>
      <c r="K58" s="253" t="s">
        <v>70</v>
      </c>
    </row>
    <row r="59" spans="1:11" ht="13.5">
      <c r="A59" s="250"/>
      <c r="B59" s="254" t="s">
        <v>434</v>
      </c>
      <c r="C59" s="254" t="s">
        <v>61</v>
      </c>
      <c r="D59" s="254" t="s">
        <v>62</v>
      </c>
      <c r="E59" s="254" t="s">
        <v>433</v>
      </c>
      <c r="F59" s="254" t="s">
        <v>63</v>
      </c>
      <c r="G59" s="254" t="s">
        <v>64</v>
      </c>
      <c r="H59" s="255" t="s">
        <v>55</v>
      </c>
      <c r="I59" s="249"/>
      <c r="J59" s="249"/>
      <c r="K59" s="253"/>
    </row>
    <row r="60" spans="1:11" ht="14.25" thickBot="1">
      <c r="A60" s="257"/>
      <c r="B60" s="258"/>
      <c r="C60" s="259"/>
      <c r="D60" s="259"/>
      <c r="E60" s="259" t="str">
        <f>'素データ'!Z11</f>
        <v>Empty_A</v>
      </c>
      <c r="F60" s="259"/>
      <c r="G60" s="259"/>
      <c r="H60" s="260" t="s">
        <v>57</v>
      </c>
      <c r="I60" s="249"/>
      <c r="J60" s="249" t="s">
        <v>69</v>
      </c>
      <c r="K60" s="253" t="s">
        <v>71</v>
      </c>
    </row>
    <row r="61" spans="1:11" ht="14.25" thickTop="1">
      <c r="A61" s="261"/>
      <c r="B61" s="247" t="s">
        <v>434</v>
      </c>
      <c r="C61" s="247" t="s">
        <v>61</v>
      </c>
      <c r="D61" s="247" t="s">
        <v>62</v>
      </c>
      <c r="E61" s="247" t="s">
        <v>433</v>
      </c>
      <c r="F61" s="247" t="s">
        <v>63</v>
      </c>
      <c r="G61" s="247" t="s">
        <v>64</v>
      </c>
      <c r="H61" s="248" t="s">
        <v>55</v>
      </c>
      <c r="I61" s="249"/>
      <c r="J61" s="249"/>
      <c r="K61" s="249"/>
    </row>
    <row r="62" spans="1:11" ht="13.5">
      <c r="A62" s="262"/>
      <c r="B62" s="263" t="str">
        <f>'素データ'!Z12</f>
        <v>Empty_B</v>
      </c>
      <c r="C62" s="234"/>
      <c r="D62" s="234"/>
      <c r="E62" s="234"/>
      <c r="F62" s="234"/>
      <c r="G62" s="234"/>
      <c r="H62" s="252" t="s">
        <v>53</v>
      </c>
      <c r="I62" s="249"/>
      <c r="J62" s="249" t="s">
        <v>69</v>
      </c>
      <c r="K62" s="264" t="s">
        <v>70</v>
      </c>
    </row>
    <row r="63" spans="1:11" ht="13.5">
      <c r="A63" s="262"/>
      <c r="B63" s="254" t="s">
        <v>434</v>
      </c>
      <c r="C63" s="254" t="s">
        <v>61</v>
      </c>
      <c r="D63" s="254" t="s">
        <v>62</v>
      </c>
      <c r="E63" s="254" t="s">
        <v>433</v>
      </c>
      <c r="F63" s="254" t="s">
        <v>63</v>
      </c>
      <c r="G63" s="254" t="s">
        <v>64</v>
      </c>
      <c r="H63" s="255" t="s">
        <v>55</v>
      </c>
      <c r="I63" s="249"/>
      <c r="J63" s="249"/>
      <c r="K63" s="264"/>
    </row>
    <row r="64" spans="1:11" ht="13.5">
      <c r="A64" s="262"/>
      <c r="B64" s="256"/>
      <c r="C64" s="234"/>
      <c r="D64" s="234"/>
      <c r="E64" s="234" t="str">
        <f>'素データ'!Z12</f>
        <v>Empty_B</v>
      </c>
      <c r="F64" s="234"/>
      <c r="G64" s="234"/>
      <c r="H64" s="252" t="s">
        <v>54</v>
      </c>
      <c r="I64" s="249"/>
      <c r="J64" s="249" t="s">
        <v>69</v>
      </c>
      <c r="K64" s="264" t="s">
        <v>71</v>
      </c>
    </row>
    <row r="65" spans="1:11" ht="13.5">
      <c r="A65" s="262"/>
      <c r="B65" s="254" t="s">
        <v>434</v>
      </c>
      <c r="C65" s="254" t="s">
        <v>61</v>
      </c>
      <c r="D65" s="254" t="s">
        <v>62</v>
      </c>
      <c r="E65" s="254" t="s">
        <v>433</v>
      </c>
      <c r="F65" s="254" t="s">
        <v>63</v>
      </c>
      <c r="G65" s="254" t="s">
        <v>64</v>
      </c>
      <c r="H65" s="255" t="s">
        <v>55</v>
      </c>
      <c r="I65" s="249"/>
      <c r="J65" s="249"/>
      <c r="K65" s="264"/>
    </row>
    <row r="66" spans="1:11" ht="13.5">
      <c r="A66" s="262"/>
      <c r="B66" s="234" t="str">
        <f>'素データ'!Z12</f>
        <v>Empty_B</v>
      </c>
      <c r="C66" s="234"/>
      <c r="D66" s="234"/>
      <c r="E66" s="234"/>
      <c r="F66" s="234"/>
      <c r="G66" s="234"/>
      <c r="H66" s="252" t="s">
        <v>54</v>
      </c>
      <c r="I66" s="249"/>
      <c r="J66" s="249" t="s">
        <v>69</v>
      </c>
      <c r="K66" s="264" t="s">
        <v>70</v>
      </c>
    </row>
    <row r="67" spans="1:11" ht="13.5">
      <c r="A67" s="262"/>
      <c r="B67" s="254" t="s">
        <v>434</v>
      </c>
      <c r="C67" s="254" t="s">
        <v>61</v>
      </c>
      <c r="D67" s="254" t="s">
        <v>62</v>
      </c>
      <c r="E67" s="254" t="s">
        <v>433</v>
      </c>
      <c r="F67" s="254" t="s">
        <v>63</v>
      </c>
      <c r="G67" s="254" t="s">
        <v>64</v>
      </c>
      <c r="H67" s="255" t="s">
        <v>55</v>
      </c>
      <c r="I67" s="249"/>
      <c r="J67" s="249"/>
      <c r="K67" s="264"/>
    </row>
    <row r="68" spans="1:11" ht="13.5">
      <c r="A68" s="262"/>
      <c r="B68" s="256"/>
      <c r="C68" s="234"/>
      <c r="D68" s="234"/>
      <c r="E68" s="234" t="str">
        <f>'素データ'!Z12</f>
        <v>Empty_B</v>
      </c>
      <c r="F68" s="234"/>
      <c r="G68" s="234"/>
      <c r="H68" s="252" t="s">
        <v>53</v>
      </c>
      <c r="I68" s="249"/>
      <c r="J68" s="249" t="s">
        <v>69</v>
      </c>
      <c r="K68" s="264" t="s">
        <v>71</v>
      </c>
    </row>
    <row r="69" spans="1:11" ht="13.5">
      <c r="A69" s="262"/>
      <c r="B69" s="254" t="s">
        <v>434</v>
      </c>
      <c r="C69" s="254" t="s">
        <v>61</v>
      </c>
      <c r="D69" s="254" t="s">
        <v>62</v>
      </c>
      <c r="E69" s="254" t="s">
        <v>433</v>
      </c>
      <c r="F69" s="254" t="s">
        <v>63</v>
      </c>
      <c r="G69" s="254" t="s">
        <v>64</v>
      </c>
      <c r="H69" s="255" t="s">
        <v>55</v>
      </c>
      <c r="I69" s="249"/>
      <c r="J69" s="249"/>
      <c r="K69" s="264"/>
    </row>
    <row r="70" spans="1:11" ht="13.5">
      <c r="A70" s="262"/>
      <c r="B70" s="234" t="str">
        <f>'素データ'!Z12</f>
        <v>Empty_B</v>
      </c>
      <c r="C70" s="234"/>
      <c r="D70" s="234"/>
      <c r="E70" s="234"/>
      <c r="F70" s="234"/>
      <c r="G70" s="234"/>
      <c r="H70" s="252" t="s">
        <v>57</v>
      </c>
      <c r="I70" s="249"/>
      <c r="J70" s="249" t="s">
        <v>69</v>
      </c>
      <c r="K70" s="264" t="s">
        <v>70</v>
      </c>
    </row>
    <row r="71" spans="1:11" ht="13.5">
      <c r="A71" s="262"/>
      <c r="B71" s="254" t="s">
        <v>434</v>
      </c>
      <c r="C71" s="254" t="s">
        <v>61</v>
      </c>
      <c r="D71" s="254" t="s">
        <v>62</v>
      </c>
      <c r="E71" s="254" t="s">
        <v>433</v>
      </c>
      <c r="F71" s="254" t="s">
        <v>63</v>
      </c>
      <c r="G71" s="254" t="s">
        <v>64</v>
      </c>
      <c r="H71" s="255" t="s">
        <v>55</v>
      </c>
      <c r="I71" s="249"/>
      <c r="J71" s="249"/>
      <c r="K71" s="264"/>
    </row>
    <row r="72" spans="1:11" ht="14.25" thickBot="1">
      <c r="A72" s="265"/>
      <c r="B72" s="258"/>
      <c r="C72" s="259"/>
      <c r="D72" s="259"/>
      <c r="E72" s="259" t="str">
        <f>'素データ'!Z12</f>
        <v>Empty_B</v>
      </c>
      <c r="F72" s="259"/>
      <c r="G72" s="259"/>
      <c r="H72" s="260" t="s">
        <v>57</v>
      </c>
      <c r="I72" s="249"/>
      <c r="J72" s="249" t="s">
        <v>69</v>
      </c>
      <c r="K72" s="264" t="s">
        <v>71</v>
      </c>
    </row>
    <row r="73" spans="1:11" ht="14.25" thickTop="1">
      <c r="A73" s="266"/>
      <c r="B73" s="247" t="s">
        <v>434</v>
      </c>
      <c r="C73" s="247" t="s">
        <v>61</v>
      </c>
      <c r="D73" s="247" t="s">
        <v>62</v>
      </c>
      <c r="E73" s="247" t="s">
        <v>433</v>
      </c>
      <c r="F73" s="247" t="s">
        <v>63</v>
      </c>
      <c r="G73" s="247" t="s">
        <v>64</v>
      </c>
      <c r="H73" s="248" t="s">
        <v>55</v>
      </c>
      <c r="I73" s="249"/>
      <c r="J73" s="249"/>
      <c r="K73" s="249"/>
    </row>
    <row r="74" spans="1:11" ht="13.5">
      <c r="A74" s="267"/>
      <c r="B74" s="268" t="str">
        <f>'素データ'!Z13</f>
        <v>Empty_C</v>
      </c>
      <c r="C74" s="234"/>
      <c r="D74" s="234"/>
      <c r="E74" s="234"/>
      <c r="F74" s="234"/>
      <c r="G74" s="234"/>
      <c r="H74" s="252" t="s">
        <v>53</v>
      </c>
      <c r="I74" s="249"/>
      <c r="J74" s="249" t="s">
        <v>69</v>
      </c>
      <c r="K74" s="269" t="s">
        <v>70</v>
      </c>
    </row>
    <row r="75" spans="1:11" ht="13.5">
      <c r="A75" s="267"/>
      <c r="B75" s="254" t="s">
        <v>434</v>
      </c>
      <c r="C75" s="254" t="s">
        <v>61</v>
      </c>
      <c r="D75" s="254" t="s">
        <v>62</v>
      </c>
      <c r="E75" s="254" t="s">
        <v>433</v>
      </c>
      <c r="F75" s="254" t="s">
        <v>63</v>
      </c>
      <c r="G75" s="254" t="s">
        <v>64</v>
      </c>
      <c r="H75" s="255" t="s">
        <v>55</v>
      </c>
      <c r="I75" s="249"/>
      <c r="J75" s="249"/>
      <c r="K75" s="269"/>
    </row>
    <row r="76" spans="1:11" ht="13.5">
      <c r="A76" s="267"/>
      <c r="B76" s="256"/>
      <c r="C76" s="234"/>
      <c r="D76" s="234"/>
      <c r="E76" s="234" t="str">
        <f>'素データ'!Z13</f>
        <v>Empty_C</v>
      </c>
      <c r="F76" s="234"/>
      <c r="G76" s="234"/>
      <c r="H76" s="252" t="s">
        <v>54</v>
      </c>
      <c r="I76" s="249"/>
      <c r="J76" s="249" t="s">
        <v>69</v>
      </c>
      <c r="K76" s="269" t="s">
        <v>71</v>
      </c>
    </row>
    <row r="77" spans="1:11" ht="13.5">
      <c r="A77" s="267"/>
      <c r="B77" s="254" t="s">
        <v>434</v>
      </c>
      <c r="C77" s="254" t="s">
        <v>61</v>
      </c>
      <c r="D77" s="254" t="s">
        <v>62</v>
      </c>
      <c r="E77" s="254" t="s">
        <v>433</v>
      </c>
      <c r="F77" s="254" t="s">
        <v>63</v>
      </c>
      <c r="G77" s="254" t="s">
        <v>64</v>
      </c>
      <c r="H77" s="255" t="s">
        <v>55</v>
      </c>
      <c r="I77" s="249"/>
      <c r="J77" s="249"/>
      <c r="K77" s="269"/>
    </row>
    <row r="78" spans="1:11" ht="13.5">
      <c r="A78" s="267"/>
      <c r="B78" s="234" t="str">
        <f>'素データ'!Z13</f>
        <v>Empty_C</v>
      </c>
      <c r="C78" s="234"/>
      <c r="D78" s="234"/>
      <c r="E78" s="234"/>
      <c r="F78" s="234"/>
      <c r="G78" s="234"/>
      <c r="H78" s="252" t="s">
        <v>54</v>
      </c>
      <c r="I78" s="249"/>
      <c r="J78" s="249" t="s">
        <v>69</v>
      </c>
      <c r="K78" s="269" t="s">
        <v>70</v>
      </c>
    </row>
    <row r="79" spans="1:11" ht="13.5">
      <c r="A79" s="267"/>
      <c r="B79" s="254" t="s">
        <v>434</v>
      </c>
      <c r="C79" s="254" t="s">
        <v>61</v>
      </c>
      <c r="D79" s="254" t="s">
        <v>62</v>
      </c>
      <c r="E79" s="254" t="s">
        <v>433</v>
      </c>
      <c r="F79" s="254" t="s">
        <v>63</v>
      </c>
      <c r="G79" s="254" t="s">
        <v>64</v>
      </c>
      <c r="H79" s="255" t="s">
        <v>55</v>
      </c>
      <c r="I79" s="249"/>
      <c r="J79" s="249"/>
      <c r="K79" s="269"/>
    </row>
    <row r="80" spans="1:11" ht="13.5">
      <c r="A80" s="267"/>
      <c r="B80" s="256"/>
      <c r="C80" s="234"/>
      <c r="D80" s="234"/>
      <c r="E80" s="234" t="str">
        <f>'素データ'!Z13</f>
        <v>Empty_C</v>
      </c>
      <c r="F80" s="234"/>
      <c r="G80" s="234"/>
      <c r="H80" s="252" t="s">
        <v>53</v>
      </c>
      <c r="I80" s="249"/>
      <c r="J80" s="249" t="s">
        <v>69</v>
      </c>
      <c r="K80" s="269" t="s">
        <v>71</v>
      </c>
    </row>
    <row r="81" spans="1:11" ht="13.5">
      <c r="A81" s="267"/>
      <c r="B81" s="254" t="s">
        <v>434</v>
      </c>
      <c r="C81" s="254" t="s">
        <v>61</v>
      </c>
      <c r="D81" s="254" t="s">
        <v>62</v>
      </c>
      <c r="E81" s="254" t="s">
        <v>433</v>
      </c>
      <c r="F81" s="254" t="s">
        <v>63</v>
      </c>
      <c r="G81" s="254" t="s">
        <v>64</v>
      </c>
      <c r="H81" s="255" t="s">
        <v>55</v>
      </c>
      <c r="I81" s="249"/>
      <c r="J81" s="249"/>
      <c r="K81" s="269"/>
    </row>
    <row r="82" spans="1:11" ht="13.5">
      <c r="A82" s="267"/>
      <c r="B82" s="234" t="str">
        <f>'素データ'!Z13</f>
        <v>Empty_C</v>
      </c>
      <c r="C82" s="234"/>
      <c r="D82" s="234"/>
      <c r="E82" s="234"/>
      <c r="F82" s="234"/>
      <c r="G82" s="234"/>
      <c r="H82" s="252" t="s">
        <v>57</v>
      </c>
      <c r="I82" s="249"/>
      <c r="J82" s="249" t="s">
        <v>69</v>
      </c>
      <c r="K82" s="269" t="s">
        <v>70</v>
      </c>
    </row>
    <row r="83" spans="1:11" ht="13.5">
      <c r="A83" s="267"/>
      <c r="B83" s="254" t="s">
        <v>434</v>
      </c>
      <c r="C83" s="254" t="s">
        <v>61</v>
      </c>
      <c r="D83" s="254" t="s">
        <v>62</v>
      </c>
      <c r="E83" s="254" t="s">
        <v>433</v>
      </c>
      <c r="F83" s="254" t="s">
        <v>63</v>
      </c>
      <c r="G83" s="254" t="s">
        <v>64</v>
      </c>
      <c r="H83" s="255" t="s">
        <v>55</v>
      </c>
      <c r="I83" s="249"/>
      <c r="J83" s="249"/>
      <c r="K83" s="269"/>
    </row>
    <row r="84" spans="1:11" ht="14.25" thickBot="1">
      <c r="A84" s="270"/>
      <c r="B84" s="258"/>
      <c r="C84" s="259"/>
      <c r="D84" s="259"/>
      <c r="E84" s="259" t="str">
        <f>'素データ'!Z13</f>
        <v>Empty_C</v>
      </c>
      <c r="F84" s="259"/>
      <c r="G84" s="259"/>
      <c r="H84" s="260" t="s">
        <v>57</v>
      </c>
      <c r="I84" s="249"/>
      <c r="J84" s="249" t="s">
        <v>69</v>
      </c>
      <c r="K84" s="269" t="s">
        <v>71</v>
      </c>
    </row>
    <row r="85" spans="1:11" ht="14.25" thickTop="1">
      <c r="A85" s="271"/>
      <c r="B85" s="247" t="s">
        <v>434</v>
      </c>
      <c r="C85" s="247" t="s">
        <v>61</v>
      </c>
      <c r="D85" s="247" t="s">
        <v>62</v>
      </c>
      <c r="E85" s="247" t="s">
        <v>433</v>
      </c>
      <c r="F85" s="247" t="s">
        <v>63</v>
      </c>
      <c r="G85" s="247" t="s">
        <v>64</v>
      </c>
      <c r="H85" s="248" t="s">
        <v>55</v>
      </c>
      <c r="I85" s="249"/>
      <c r="J85" s="249"/>
      <c r="K85" s="249"/>
    </row>
    <row r="86" spans="1:11" ht="13.5">
      <c r="A86" s="272"/>
      <c r="B86" s="234" t="str">
        <f>'素データ'!Z14</f>
        <v>Empty_D</v>
      </c>
      <c r="C86" s="234"/>
      <c r="D86" s="234"/>
      <c r="E86" s="234"/>
      <c r="F86" s="234"/>
      <c r="G86" s="234"/>
      <c r="H86" s="252" t="s">
        <v>53</v>
      </c>
      <c r="I86" s="249"/>
      <c r="J86" s="249" t="s">
        <v>69</v>
      </c>
      <c r="K86" s="249" t="s">
        <v>70</v>
      </c>
    </row>
    <row r="87" spans="1:11" ht="13.5">
      <c r="A87" s="272"/>
      <c r="B87" s="254" t="s">
        <v>434</v>
      </c>
      <c r="C87" s="254" t="s">
        <v>61</v>
      </c>
      <c r="D87" s="254" t="s">
        <v>62</v>
      </c>
      <c r="E87" s="254" t="s">
        <v>433</v>
      </c>
      <c r="F87" s="254" t="s">
        <v>63</v>
      </c>
      <c r="G87" s="254" t="s">
        <v>64</v>
      </c>
      <c r="H87" s="255" t="s">
        <v>55</v>
      </c>
      <c r="I87" s="249"/>
      <c r="J87" s="249"/>
      <c r="K87" s="249"/>
    </row>
    <row r="88" spans="1:11" ht="13.5">
      <c r="A88" s="272"/>
      <c r="B88" s="256"/>
      <c r="C88" s="234"/>
      <c r="D88" s="234"/>
      <c r="E88" s="234" t="str">
        <f>'素データ'!Z14</f>
        <v>Empty_D</v>
      </c>
      <c r="F88" s="234"/>
      <c r="G88" s="234"/>
      <c r="H88" s="252" t="s">
        <v>54</v>
      </c>
      <c r="I88" s="249"/>
      <c r="J88" s="249" t="s">
        <v>69</v>
      </c>
      <c r="K88" s="249" t="s">
        <v>71</v>
      </c>
    </row>
    <row r="89" spans="1:11" ht="13.5">
      <c r="A89" s="272"/>
      <c r="B89" s="254" t="s">
        <v>434</v>
      </c>
      <c r="C89" s="254" t="s">
        <v>61</v>
      </c>
      <c r="D89" s="254" t="s">
        <v>62</v>
      </c>
      <c r="E89" s="254" t="s">
        <v>433</v>
      </c>
      <c r="F89" s="254" t="s">
        <v>63</v>
      </c>
      <c r="G89" s="254" t="s">
        <v>64</v>
      </c>
      <c r="H89" s="255" t="s">
        <v>55</v>
      </c>
      <c r="I89" s="249"/>
      <c r="J89" s="249"/>
      <c r="K89" s="249"/>
    </row>
    <row r="90" spans="1:11" ht="13.5">
      <c r="A90" s="272"/>
      <c r="B90" s="234" t="str">
        <f>'素データ'!Z14</f>
        <v>Empty_D</v>
      </c>
      <c r="C90" s="234"/>
      <c r="D90" s="234"/>
      <c r="E90" s="234"/>
      <c r="F90" s="234"/>
      <c r="G90" s="234"/>
      <c r="H90" s="252" t="s">
        <v>54</v>
      </c>
      <c r="I90" s="249"/>
      <c r="J90" s="249" t="s">
        <v>69</v>
      </c>
      <c r="K90" s="249" t="s">
        <v>70</v>
      </c>
    </row>
    <row r="91" spans="1:11" ht="13.5">
      <c r="A91" s="272"/>
      <c r="B91" s="254" t="s">
        <v>434</v>
      </c>
      <c r="C91" s="254" t="s">
        <v>61</v>
      </c>
      <c r="D91" s="254" t="s">
        <v>62</v>
      </c>
      <c r="E91" s="254" t="s">
        <v>433</v>
      </c>
      <c r="F91" s="254" t="s">
        <v>63</v>
      </c>
      <c r="G91" s="254" t="s">
        <v>64</v>
      </c>
      <c r="H91" s="255" t="s">
        <v>55</v>
      </c>
      <c r="I91" s="249"/>
      <c r="J91" s="249"/>
      <c r="K91" s="249"/>
    </row>
    <row r="92" spans="1:11" ht="13.5">
      <c r="A92" s="272"/>
      <c r="B92" s="256"/>
      <c r="C92" s="234"/>
      <c r="D92" s="234"/>
      <c r="E92" s="234" t="str">
        <f>'素データ'!Z14</f>
        <v>Empty_D</v>
      </c>
      <c r="F92" s="234"/>
      <c r="G92" s="234"/>
      <c r="H92" s="252" t="s">
        <v>53</v>
      </c>
      <c r="I92" s="249"/>
      <c r="J92" s="249" t="s">
        <v>69</v>
      </c>
      <c r="K92" s="249" t="s">
        <v>71</v>
      </c>
    </row>
    <row r="93" spans="1:11" ht="13.5">
      <c r="A93" s="272"/>
      <c r="B93" s="254" t="s">
        <v>434</v>
      </c>
      <c r="C93" s="254" t="s">
        <v>61</v>
      </c>
      <c r="D93" s="254" t="s">
        <v>62</v>
      </c>
      <c r="E93" s="254" t="s">
        <v>433</v>
      </c>
      <c r="F93" s="254" t="s">
        <v>63</v>
      </c>
      <c r="G93" s="254" t="s">
        <v>64</v>
      </c>
      <c r="H93" s="255" t="s">
        <v>55</v>
      </c>
      <c r="I93" s="249"/>
      <c r="J93" s="249"/>
      <c r="K93" s="249"/>
    </row>
    <row r="94" spans="1:11" ht="13.5">
      <c r="A94" s="272"/>
      <c r="B94" s="234" t="str">
        <f>'素データ'!Z14</f>
        <v>Empty_D</v>
      </c>
      <c r="C94" s="234"/>
      <c r="D94" s="234"/>
      <c r="E94" s="234"/>
      <c r="F94" s="234"/>
      <c r="G94" s="234"/>
      <c r="H94" s="252" t="s">
        <v>57</v>
      </c>
      <c r="I94" s="249"/>
      <c r="J94" s="249" t="s">
        <v>69</v>
      </c>
      <c r="K94" s="249" t="s">
        <v>70</v>
      </c>
    </row>
    <row r="95" spans="1:11" ht="13.5">
      <c r="A95" s="272"/>
      <c r="B95" s="254" t="s">
        <v>434</v>
      </c>
      <c r="C95" s="254" t="s">
        <v>61</v>
      </c>
      <c r="D95" s="254" t="s">
        <v>62</v>
      </c>
      <c r="E95" s="254" t="s">
        <v>433</v>
      </c>
      <c r="F95" s="254" t="s">
        <v>63</v>
      </c>
      <c r="G95" s="254" t="s">
        <v>64</v>
      </c>
      <c r="H95" s="255" t="s">
        <v>55</v>
      </c>
      <c r="I95" s="249"/>
      <c r="J95" s="249"/>
      <c r="K95" s="249"/>
    </row>
    <row r="96" spans="1:11" ht="14.25" thickBot="1">
      <c r="A96" s="273"/>
      <c r="B96" s="258"/>
      <c r="C96" s="259"/>
      <c r="D96" s="259"/>
      <c r="E96" s="259" t="str">
        <f>'素データ'!Z14</f>
        <v>Empty_D</v>
      </c>
      <c r="F96" s="259"/>
      <c r="G96" s="259"/>
      <c r="H96" s="260" t="s">
        <v>57</v>
      </c>
      <c r="I96" s="249"/>
      <c r="J96" s="249" t="s">
        <v>69</v>
      </c>
      <c r="K96" s="249" t="s">
        <v>71</v>
      </c>
    </row>
    <row r="97" spans="1:11" ht="14.25" thickTop="1">
      <c r="A97" s="249"/>
      <c r="B97" s="249"/>
      <c r="C97" s="249"/>
      <c r="D97" s="249"/>
      <c r="E97" s="249"/>
      <c r="F97" s="249"/>
      <c r="G97" s="249"/>
      <c r="H97" s="274"/>
      <c r="I97" s="249"/>
      <c r="J97" s="249"/>
      <c r="K97" s="249"/>
    </row>
  </sheetData>
  <sheetProtection/>
  <mergeCells count="1">
    <mergeCell ref="L1:O1"/>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3"/>
  </sheetPr>
  <dimension ref="A1:R37"/>
  <sheetViews>
    <sheetView showGridLines="0" zoomScalePageLayoutView="0" workbookViewId="0" topLeftCell="A1">
      <selection activeCell="H32" sqref="H32"/>
    </sheetView>
  </sheetViews>
  <sheetFormatPr defaultColWidth="9" defaultRowHeight="15"/>
  <cols>
    <col min="1" max="1" width="3.19921875" style="49" customWidth="1"/>
    <col min="2" max="2" width="13.09765625" style="49" customWidth="1"/>
    <col min="3" max="16384" width="9" style="49" customWidth="1"/>
  </cols>
  <sheetData>
    <row r="1" spans="1:18" ht="16.5">
      <c r="A1" s="48"/>
      <c r="B1" s="48"/>
      <c r="C1" s="48"/>
      <c r="D1" s="48"/>
      <c r="E1" s="48"/>
      <c r="F1" s="48"/>
      <c r="G1" s="48"/>
      <c r="H1" s="48"/>
      <c r="I1" s="48"/>
      <c r="J1" s="48"/>
      <c r="K1" s="48"/>
      <c r="L1" s="48"/>
      <c r="M1" s="48"/>
      <c r="N1" s="48"/>
      <c r="O1" s="48"/>
      <c r="P1" s="48"/>
      <c r="Q1" s="48"/>
      <c r="R1" s="48"/>
    </row>
    <row r="2" spans="1:18" ht="16.5">
      <c r="A2" s="48"/>
      <c r="B2" s="48" t="s">
        <v>139</v>
      </c>
      <c r="C2" s="48"/>
      <c r="D2" s="48"/>
      <c r="E2" s="48"/>
      <c r="F2" s="48"/>
      <c r="G2" s="48"/>
      <c r="H2" s="48"/>
      <c r="I2" s="48"/>
      <c r="J2" s="48"/>
      <c r="K2" s="48"/>
      <c r="L2" s="48"/>
      <c r="M2" s="48"/>
      <c r="N2" s="48"/>
      <c r="O2" s="48"/>
      <c r="P2" s="48"/>
      <c r="Q2" s="48"/>
      <c r="R2" s="48"/>
    </row>
    <row r="3" spans="1:18" ht="16.5">
      <c r="A3" s="48"/>
      <c r="B3" s="48"/>
      <c r="C3" s="48"/>
      <c r="D3" s="48"/>
      <c r="E3" s="48"/>
      <c r="F3" s="48"/>
      <c r="G3" s="48"/>
      <c r="H3" s="48"/>
      <c r="I3" s="48"/>
      <c r="J3" s="48"/>
      <c r="K3" s="48"/>
      <c r="L3" s="48"/>
      <c r="M3" s="48"/>
      <c r="N3" s="48"/>
      <c r="O3" s="48"/>
      <c r="P3" s="48"/>
      <c r="Q3" s="48"/>
      <c r="R3" s="48"/>
    </row>
    <row r="4" spans="1:18" ht="16.5">
      <c r="A4" s="48"/>
      <c r="B4" s="50" t="s">
        <v>140</v>
      </c>
      <c r="C4" s="48"/>
      <c r="D4" s="48"/>
      <c r="E4" s="48"/>
      <c r="F4" s="48"/>
      <c r="G4" s="48"/>
      <c r="H4" s="48"/>
      <c r="I4" s="48"/>
      <c r="J4" s="48"/>
      <c r="K4" s="48"/>
      <c r="L4" s="48"/>
      <c r="M4" s="48"/>
      <c r="N4" s="48"/>
      <c r="O4" s="48"/>
      <c r="P4" s="48"/>
      <c r="Q4" s="48"/>
      <c r="R4" s="48"/>
    </row>
    <row r="5" spans="1:18" ht="16.5">
      <c r="A5" s="48"/>
      <c r="B5" s="51" t="s">
        <v>199</v>
      </c>
      <c r="C5" s="51" t="s">
        <v>200</v>
      </c>
      <c r="D5" s="48"/>
      <c r="E5" s="48"/>
      <c r="F5" s="48"/>
      <c r="G5" s="48"/>
      <c r="H5" s="48"/>
      <c r="I5" s="48"/>
      <c r="J5" s="48"/>
      <c r="K5" s="48"/>
      <c r="L5" s="48"/>
      <c r="M5" s="48"/>
      <c r="N5" s="48"/>
      <c r="O5" s="48"/>
      <c r="P5" s="48"/>
      <c r="Q5" s="48"/>
      <c r="R5" s="48"/>
    </row>
    <row r="6" spans="1:18" ht="16.5">
      <c r="A6" s="48"/>
      <c r="B6" s="50"/>
      <c r="C6" s="48" t="s">
        <v>201</v>
      </c>
      <c r="D6" s="48"/>
      <c r="E6" s="48"/>
      <c r="F6" s="48"/>
      <c r="G6" s="48"/>
      <c r="H6" s="48"/>
      <c r="I6" s="48"/>
      <c r="J6" s="48"/>
      <c r="K6" s="48"/>
      <c r="L6" s="48"/>
      <c r="M6" s="48"/>
      <c r="N6" s="48"/>
      <c r="O6" s="48"/>
      <c r="P6" s="48"/>
      <c r="Q6" s="48"/>
      <c r="R6" s="48"/>
    </row>
    <row r="7" spans="1:18" ht="16.5">
      <c r="A7" s="48"/>
      <c r="B7" s="50"/>
      <c r="C7" s="48" t="s">
        <v>202</v>
      </c>
      <c r="D7" s="48"/>
      <c r="E7" s="48"/>
      <c r="F7" s="48"/>
      <c r="G7" s="48"/>
      <c r="H7" s="48"/>
      <c r="I7" s="48"/>
      <c r="J7" s="48"/>
      <c r="K7" s="48"/>
      <c r="L7" s="48"/>
      <c r="M7" s="48"/>
      <c r="N7" s="48"/>
      <c r="O7" s="48"/>
      <c r="P7" s="48"/>
      <c r="Q7" s="48"/>
      <c r="R7" s="48"/>
    </row>
    <row r="8" spans="1:18" ht="16.5">
      <c r="A8" s="48"/>
      <c r="B8" s="50"/>
      <c r="C8" s="48" t="s">
        <v>203</v>
      </c>
      <c r="D8" s="48"/>
      <c r="E8" s="48"/>
      <c r="F8" s="48"/>
      <c r="G8" s="48"/>
      <c r="H8" s="48"/>
      <c r="I8" s="48"/>
      <c r="J8" s="48"/>
      <c r="K8" s="48"/>
      <c r="L8" s="48"/>
      <c r="M8" s="48"/>
      <c r="N8" s="48"/>
      <c r="O8" s="48"/>
      <c r="P8" s="48"/>
      <c r="Q8" s="48"/>
      <c r="R8" s="48"/>
    </row>
    <row r="9" spans="1:18" ht="16.5">
      <c r="A9" s="48"/>
      <c r="B9" s="50"/>
      <c r="C9" s="48" t="s">
        <v>204</v>
      </c>
      <c r="D9" s="48"/>
      <c r="E9" s="48"/>
      <c r="F9" s="48"/>
      <c r="G9" s="48"/>
      <c r="H9" s="48"/>
      <c r="I9" s="48"/>
      <c r="J9" s="48"/>
      <c r="K9" s="48"/>
      <c r="L9" s="48"/>
      <c r="M9" s="48"/>
      <c r="N9" s="48"/>
      <c r="O9" s="48"/>
      <c r="P9" s="48"/>
      <c r="Q9" s="48"/>
      <c r="R9" s="48"/>
    </row>
    <row r="10" spans="1:18" ht="16.5">
      <c r="A10" s="48"/>
      <c r="B10" s="50"/>
      <c r="C10" s="48" t="s">
        <v>205</v>
      </c>
      <c r="D10" s="48"/>
      <c r="E10" s="48"/>
      <c r="F10" s="48"/>
      <c r="G10" s="48"/>
      <c r="H10" s="48"/>
      <c r="I10" s="48"/>
      <c r="J10" s="48"/>
      <c r="K10" s="48"/>
      <c r="L10" s="48"/>
      <c r="M10" s="48"/>
      <c r="N10" s="48"/>
      <c r="O10" s="48"/>
      <c r="P10" s="48"/>
      <c r="Q10" s="48"/>
      <c r="R10" s="48"/>
    </row>
    <row r="11" spans="1:18" ht="16.5">
      <c r="A11" s="48"/>
      <c r="B11" s="50"/>
      <c r="C11" s="51" t="s">
        <v>206</v>
      </c>
      <c r="D11" s="48"/>
      <c r="E11" s="48"/>
      <c r="F11" s="48"/>
      <c r="G11" s="48"/>
      <c r="H11" s="48"/>
      <c r="I11" s="48"/>
      <c r="J11" s="48"/>
      <c r="K11" s="48"/>
      <c r="L11" s="48"/>
      <c r="M11" s="48"/>
      <c r="N11" s="48"/>
      <c r="O11" s="48"/>
      <c r="P11" s="48"/>
      <c r="Q11" s="48"/>
      <c r="R11" s="48"/>
    </row>
    <row r="12" spans="1:18" ht="16.5">
      <c r="A12" s="48"/>
      <c r="B12" s="51" t="s">
        <v>197</v>
      </c>
      <c r="C12" s="51" t="s">
        <v>141</v>
      </c>
      <c r="D12" s="48"/>
      <c r="E12" s="48"/>
      <c r="F12" s="48"/>
      <c r="G12" s="48"/>
      <c r="H12" s="48"/>
      <c r="I12" s="48"/>
      <c r="J12" s="48"/>
      <c r="K12" s="48"/>
      <c r="L12" s="48"/>
      <c r="M12" s="48"/>
      <c r="N12" s="48"/>
      <c r="O12" s="48"/>
      <c r="P12" s="48"/>
      <c r="Q12" s="48"/>
      <c r="R12" s="48"/>
    </row>
    <row r="13" spans="1:18" ht="16.5">
      <c r="A13" s="48"/>
      <c r="B13" s="51"/>
      <c r="C13" s="48" t="s">
        <v>207</v>
      </c>
      <c r="D13" s="48"/>
      <c r="E13" s="48"/>
      <c r="F13" s="48"/>
      <c r="G13" s="48"/>
      <c r="H13" s="48"/>
      <c r="I13" s="48"/>
      <c r="J13" s="48"/>
      <c r="K13" s="48"/>
      <c r="L13" s="48"/>
      <c r="M13" s="48"/>
      <c r="N13" s="48"/>
      <c r="O13" s="48"/>
      <c r="P13" s="48"/>
      <c r="Q13" s="48"/>
      <c r="R13" s="48"/>
    </row>
    <row r="14" spans="1:18" ht="16.5">
      <c r="A14" s="48"/>
      <c r="B14" s="48"/>
      <c r="C14" s="48" t="s">
        <v>142</v>
      </c>
      <c r="D14" s="48"/>
      <c r="E14" s="48"/>
      <c r="F14" s="48"/>
      <c r="G14" s="48"/>
      <c r="H14" s="48"/>
      <c r="I14" s="48"/>
      <c r="J14" s="48"/>
      <c r="K14" s="48"/>
      <c r="L14" s="48"/>
      <c r="M14" s="48"/>
      <c r="N14" s="48"/>
      <c r="O14" s="48"/>
      <c r="P14" s="48"/>
      <c r="Q14" s="48"/>
      <c r="R14" s="48"/>
    </row>
    <row r="15" spans="1:18" ht="16.5">
      <c r="A15" s="48"/>
      <c r="B15" s="51" t="s">
        <v>198</v>
      </c>
      <c r="C15" s="51" t="s">
        <v>143</v>
      </c>
      <c r="D15" s="48"/>
      <c r="E15" s="48"/>
      <c r="F15" s="48"/>
      <c r="G15" s="48"/>
      <c r="H15" s="48"/>
      <c r="I15" s="48"/>
      <c r="J15" s="48"/>
      <c r="K15" s="48"/>
      <c r="L15" s="48"/>
      <c r="M15" s="48"/>
      <c r="N15" s="48"/>
      <c r="O15" s="48"/>
      <c r="P15" s="48"/>
      <c r="Q15" s="48"/>
      <c r="R15" s="48"/>
    </row>
    <row r="16" spans="1:18" ht="16.5">
      <c r="A16" s="48"/>
      <c r="B16" s="48"/>
      <c r="C16" s="48" t="s">
        <v>153</v>
      </c>
      <c r="D16" s="48"/>
      <c r="E16" s="48"/>
      <c r="F16" s="48"/>
      <c r="G16" s="48"/>
      <c r="H16" s="48"/>
      <c r="I16" s="48"/>
      <c r="J16" s="48"/>
      <c r="K16" s="48"/>
      <c r="L16" s="48"/>
      <c r="M16" s="48"/>
      <c r="N16" s="48"/>
      <c r="O16" s="48"/>
      <c r="P16" s="48"/>
      <c r="Q16" s="48"/>
      <c r="R16" s="48"/>
    </row>
    <row r="17" spans="1:18" ht="16.5">
      <c r="A17" s="48"/>
      <c r="B17" s="50" t="s">
        <v>208</v>
      </c>
      <c r="C17" s="48"/>
      <c r="D17" s="48"/>
      <c r="E17" s="48"/>
      <c r="F17" s="48"/>
      <c r="G17" s="48"/>
      <c r="H17" s="48"/>
      <c r="I17" s="48"/>
      <c r="J17" s="48"/>
      <c r="K17" s="48"/>
      <c r="L17" s="48"/>
      <c r="M17" s="48"/>
      <c r="N17" s="48"/>
      <c r="O17" s="48"/>
      <c r="P17" s="48"/>
      <c r="Q17" s="48"/>
      <c r="R17" s="48"/>
    </row>
    <row r="18" spans="1:18" ht="16.5">
      <c r="A18" s="48"/>
      <c r="B18" s="51" t="s">
        <v>144</v>
      </c>
      <c r="C18" s="51" t="s">
        <v>145</v>
      </c>
      <c r="D18" s="48"/>
      <c r="E18" s="48"/>
      <c r="F18" s="48"/>
      <c r="G18" s="48"/>
      <c r="H18" s="48"/>
      <c r="I18" s="48"/>
      <c r="J18" s="48"/>
      <c r="K18" s="48"/>
      <c r="L18" s="48"/>
      <c r="M18" s="48"/>
      <c r="N18" s="48"/>
      <c r="O18" s="48"/>
      <c r="P18" s="48"/>
      <c r="Q18" s="48"/>
      <c r="R18" s="48"/>
    </row>
    <row r="19" spans="1:18" ht="16.5">
      <c r="A19" s="48"/>
      <c r="B19" s="48"/>
      <c r="C19" s="48" t="s">
        <v>154</v>
      </c>
      <c r="D19" s="48"/>
      <c r="E19" s="48"/>
      <c r="F19" s="48"/>
      <c r="G19" s="48"/>
      <c r="H19" s="48"/>
      <c r="I19" s="48"/>
      <c r="J19" s="48"/>
      <c r="K19" s="48"/>
      <c r="L19" s="48"/>
      <c r="M19" s="48"/>
      <c r="N19" s="48"/>
      <c r="O19" s="48"/>
      <c r="P19" s="48"/>
      <c r="Q19" s="48"/>
      <c r="R19" s="48"/>
    </row>
    <row r="20" spans="1:18" ht="16.5">
      <c r="A20" s="48"/>
      <c r="B20" s="48"/>
      <c r="C20" s="48" t="s">
        <v>146</v>
      </c>
      <c r="D20" s="48"/>
      <c r="E20" s="48"/>
      <c r="F20" s="48"/>
      <c r="G20" s="48"/>
      <c r="H20" s="48"/>
      <c r="I20" s="48"/>
      <c r="J20" s="48"/>
      <c r="K20" s="48"/>
      <c r="L20" s="48"/>
      <c r="M20" s="48"/>
      <c r="N20" s="48"/>
      <c r="O20" s="48"/>
      <c r="P20" s="48"/>
      <c r="Q20" s="48"/>
      <c r="R20" s="48"/>
    </row>
    <row r="21" spans="1:18" ht="16.5">
      <c r="A21" s="48"/>
      <c r="B21" s="51" t="s">
        <v>147</v>
      </c>
      <c r="C21" s="51" t="s">
        <v>148</v>
      </c>
      <c r="D21" s="48"/>
      <c r="E21" s="48"/>
      <c r="F21" s="48"/>
      <c r="G21" s="48"/>
      <c r="H21" s="48"/>
      <c r="I21" s="48"/>
      <c r="J21" s="48"/>
      <c r="K21" s="48"/>
      <c r="L21" s="48"/>
      <c r="M21" s="48"/>
      <c r="N21" s="48"/>
      <c r="O21" s="48"/>
      <c r="P21" s="48"/>
      <c r="Q21" s="48"/>
      <c r="R21" s="48"/>
    </row>
    <row r="22" spans="1:18" ht="16.5">
      <c r="A22" s="48"/>
      <c r="B22" s="48"/>
      <c r="C22" s="48" t="s">
        <v>209</v>
      </c>
      <c r="D22" s="48"/>
      <c r="E22" s="48"/>
      <c r="F22" s="48"/>
      <c r="G22" s="48"/>
      <c r="H22" s="48"/>
      <c r="I22" s="48"/>
      <c r="J22" s="48"/>
      <c r="K22" s="48"/>
      <c r="L22" s="48"/>
      <c r="M22" s="48"/>
      <c r="N22" s="48"/>
      <c r="O22" s="48"/>
      <c r="P22" s="48"/>
      <c r="Q22" s="48"/>
      <c r="R22" s="48"/>
    </row>
    <row r="23" spans="1:18" ht="16.5">
      <c r="A23" s="48"/>
      <c r="B23" s="48"/>
      <c r="C23" s="48"/>
      <c r="D23" s="48"/>
      <c r="E23" s="48"/>
      <c r="F23" s="48"/>
      <c r="G23" s="48"/>
      <c r="H23" s="48"/>
      <c r="I23" s="48"/>
      <c r="J23" s="48"/>
      <c r="K23" s="48"/>
      <c r="L23" s="48"/>
      <c r="M23" s="48"/>
      <c r="N23" s="48"/>
      <c r="O23" s="48"/>
      <c r="P23" s="48"/>
      <c r="Q23" s="48"/>
      <c r="R23" s="48"/>
    </row>
    <row r="24" spans="1:18" ht="16.5">
      <c r="A24" s="48"/>
      <c r="B24" s="48"/>
      <c r="C24" s="48"/>
      <c r="D24" s="48"/>
      <c r="E24" s="48"/>
      <c r="F24" s="48"/>
      <c r="G24" s="48"/>
      <c r="H24" s="48"/>
      <c r="I24" s="48"/>
      <c r="J24" s="48"/>
      <c r="K24" s="48"/>
      <c r="L24" s="48"/>
      <c r="M24" s="48"/>
      <c r="N24" s="48"/>
      <c r="O24" s="48"/>
      <c r="P24" s="48"/>
      <c r="Q24" s="48"/>
      <c r="R24" s="48"/>
    </row>
    <row r="25" spans="1:18" ht="16.5">
      <c r="A25" s="48"/>
      <c r="B25" s="48" t="s">
        <v>210</v>
      </c>
      <c r="C25" s="48"/>
      <c r="D25" s="48"/>
      <c r="E25" s="48"/>
      <c r="F25" s="48"/>
      <c r="G25" s="48"/>
      <c r="H25" s="48"/>
      <c r="I25" s="48"/>
      <c r="J25" s="48"/>
      <c r="K25" s="48"/>
      <c r="L25" s="48"/>
      <c r="M25" s="48"/>
      <c r="N25" s="48"/>
      <c r="O25" s="48"/>
      <c r="P25" s="48"/>
      <c r="Q25" s="48"/>
      <c r="R25" s="48"/>
    </row>
    <row r="26" spans="1:18" ht="16.5">
      <c r="A26" s="48"/>
      <c r="B26" s="48"/>
      <c r="C26" s="48"/>
      <c r="D26" s="48"/>
      <c r="E26" s="48"/>
      <c r="F26" s="48"/>
      <c r="G26" s="48"/>
      <c r="H26" s="48"/>
      <c r="I26" s="48"/>
      <c r="J26" s="48"/>
      <c r="K26" s="48"/>
      <c r="L26" s="48"/>
      <c r="M26" s="48"/>
      <c r="N26" s="48"/>
      <c r="O26" s="48"/>
      <c r="P26" s="48"/>
      <c r="Q26" s="48"/>
      <c r="R26" s="48"/>
    </row>
    <row r="27" spans="1:18" ht="16.5">
      <c r="A27" s="48"/>
      <c r="B27" s="48" t="s">
        <v>211</v>
      </c>
      <c r="C27" s="48"/>
      <c r="D27" s="48"/>
      <c r="E27" s="48"/>
      <c r="F27" s="48"/>
      <c r="G27" s="48"/>
      <c r="H27" s="48" t="s">
        <v>213</v>
      </c>
      <c r="I27" s="48"/>
      <c r="J27" s="48"/>
      <c r="K27" s="48"/>
      <c r="L27" s="48"/>
      <c r="M27" s="48"/>
      <c r="N27" s="48"/>
      <c r="O27" s="48"/>
      <c r="P27" s="48"/>
      <c r="Q27" s="48"/>
      <c r="R27" s="48"/>
    </row>
    <row r="28" spans="1:18" ht="16.5">
      <c r="A28" s="48"/>
      <c r="B28" s="48"/>
      <c r="C28" s="48"/>
      <c r="D28" s="48"/>
      <c r="E28" s="48"/>
      <c r="F28" s="48"/>
      <c r="G28" s="48"/>
      <c r="H28" s="48"/>
      <c r="I28" s="48"/>
      <c r="J28" s="48"/>
      <c r="K28" s="48"/>
      <c r="L28" s="48"/>
      <c r="M28" s="48"/>
      <c r="N28" s="48"/>
      <c r="O28" s="48"/>
      <c r="P28" s="48"/>
      <c r="Q28" s="48"/>
      <c r="R28" s="48"/>
    </row>
    <row r="29" spans="1:18" ht="16.5">
      <c r="A29" s="48"/>
      <c r="B29" s="48" t="s">
        <v>212</v>
      </c>
      <c r="C29" s="48"/>
      <c r="D29" s="48"/>
      <c r="E29" s="48"/>
      <c r="F29" s="48"/>
      <c r="G29" s="48"/>
      <c r="H29" s="48"/>
      <c r="I29" s="48"/>
      <c r="J29" s="48"/>
      <c r="K29" s="48"/>
      <c r="L29" s="48"/>
      <c r="M29" s="48"/>
      <c r="N29" s="48"/>
      <c r="O29" s="48"/>
      <c r="P29" s="48"/>
      <c r="Q29" s="48"/>
      <c r="R29" s="48"/>
    </row>
    <row r="30" spans="1:18" ht="16.5">
      <c r="A30" s="48"/>
      <c r="B30" s="48"/>
      <c r="C30" s="48"/>
      <c r="D30" s="48"/>
      <c r="E30" s="48"/>
      <c r="F30" s="48"/>
      <c r="G30" s="48"/>
      <c r="H30" s="48"/>
      <c r="I30" s="48"/>
      <c r="J30" s="48"/>
      <c r="K30" s="48"/>
      <c r="L30" s="48"/>
      <c r="M30" s="48"/>
      <c r="N30" s="48"/>
      <c r="O30" s="48"/>
      <c r="P30" s="48"/>
      <c r="Q30" s="48"/>
      <c r="R30" s="48"/>
    </row>
    <row r="31" spans="1:18" ht="16.5">
      <c r="A31" s="48"/>
      <c r="B31" s="48"/>
      <c r="C31" s="48"/>
      <c r="D31" s="48"/>
      <c r="E31" s="48"/>
      <c r="F31" s="48" t="s">
        <v>242</v>
      </c>
      <c r="G31" s="48"/>
      <c r="H31" s="48"/>
      <c r="I31" s="48"/>
      <c r="J31" s="48"/>
      <c r="K31" s="48"/>
      <c r="L31" s="48"/>
      <c r="M31" s="48"/>
      <c r="N31" s="48"/>
      <c r="O31" s="48"/>
      <c r="P31" s="48"/>
      <c r="Q31" s="48"/>
      <c r="R31" s="48"/>
    </row>
    <row r="32" spans="1:18" ht="16.5">
      <c r="A32" s="48"/>
      <c r="B32" s="48"/>
      <c r="C32" s="48"/>
      <c r="D32" s="48"/>
      <c r="E32" s="48"/>
      <c r="F32" s="48"/>
      <c r="G32" s="48"/>
      <c r="H32" s="48"/>
      <c r="I32" s="48"/>
      <c r="J32" s="48"/>
      <c r="K32" s="48"/>
      <c r="L32" s="48"/>
      <c r="M32" s="48"/>
      <c r="N32" s="48"/>
      <c r="O32" s="48"/>
      <c r="P32" s="48"/>
      <c r="Q32" s="48"/>
      <c r="R32" s="48"/>
    </row>
    <row r="33" spans="1:18" ht="16.5">
      <c r="A33" s="48"/>
      <c r="B33" s="48"/>
      <c r="C33" s="48"/>
      <c r="D33" s="48"/>
      <c r="E33" s="48"/>
      <c r="F33" s="48"/>
      <c r="G33" s="48"/>
      <c r="H33" s="48"/>
      <c r="I33" s="48"/>
      <c r="J33" s="48"/>
      <c r="K33" s="48"/>
      <c r="L33" s="48"/>
      <c r="M33" s="48"/>
      <c r="N33" s="48"/>
      <c r="O33" s="48"/>
      <c r="P33" s="48"/>
      <c r="Q33" s="48"/>
      <c r="R33" s="48"/>
    </row>
    <row r="34" spans="1:18" ht="16.5">
      <c r="A34" s="48"/>
      <c r="B34" s="48"/>
      <c r="C34" s="48"/>
      <c r="D34" s="48"/>
      <c r="E34" s="48"/>
      <c r="F34" s="48"/>
      <c r="G34" s="48"/>
      <c r="H34" s="48"/>
      <c r="I34" s="48"/>
      <c r="J34" s="48"/>
      <c r="K34" s="48"/>
      <c r="L34" s="48"/>
      <c r="M34" s="48"/>
      <c r="N34" s="48"/>
      <c r="O34" s="48"/>
      <c r="P34" s="48"/>
      <c r="Q34" s="48"/>
      <c r="R34" s="48"/>
    </row>
    <row r="35" spans="1:18" ht="16.5">
      <c r="A35" s="48"/>
      <c r="B35" s="48"/>
      <c r="C35" s="48"/>
      <c r="D35" s="48"/>
      <c r="E35" s="48"/>
      <c r="F35" s="48"/>
      <c r="G35" s="48"/>
      <c r="H35" s="48"/>
      <c r="I35" s="48"/>
      <c r="J35" s="48"/>
      <c r="K35" s="48"/>
      <c r="L35" s="48"/>
      <c r="M35" s="48"/>
      <c r="N35" s="48"/>
      <c r="O35" s="48"/>
      <c r="P35" s="48"/>
      <c r="Q35" s="48"/>
      <c r="R35" s="48"/>
    </row>
    <row r="36" spans="1:18" ht="16.5">
      <c r="A36" s="48"/>
      <c r="B36" s="48"/>
      <c r="C36" s="48"/>
      <c r="D36" s="48"/>
      <c r="E36" s="48"/>
      <c r="F36" s="48"/>
      <c r="G36" s="48"/>
      <c r="H36" s="48"/>
      <c r="I36" s="48"/>
      <c r="J36" s="48"/>
      <c r="K36" s="48"/>
      <c r="L36" s="48"/>
      <c r="M36" s="48"/>
      <c r="N36" s="48"/>
      <c r="O36" s="48"/>
      <c r="P36" s="48"/>
      <c r="Q36" s="48"/>
      <c r="R36" s="48"/>
    </row>
    <row r="37" spans="1:18" ht="16.5">
      <c r="A37" s="48"/>
      <c r="B37" s="48"/>
      <c r="C37" s="48"/>
      <c r="D37" s="48"/>
      <c r="E37" s="48"/>
      <c r="F37" s="48"/>
      <c r="G37" s="48"/>
      <c r="H37" s="48"/>
      <c r="I37" s="48"/>
      <c r="J37" s="48"/>
      <c r="K37" s="48"/>
      <c r="L37" s="48"/>
      <c r="M37" s="48"/>
      <c r="N37" s="48"/>
      <c r="O37" s="48"/>
      <c r="P37" s="48"/>
      <c r="Q37" s="48"/>
      <c r="R37" s="48"/>
    </row>
  </sheetData>
  <sheetProtection password="B197" sheet="1" objects="1" scenarios="1"/>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B2:AP24"/>
  <sheetViews>
    <sheetView showGridLines="0" tabSelected="1" zoomScalePageLayoutView="0" workbookViewId="0" topLeftCell="A1">
      <selection activeCell="D6" sqref="D6"/>
    </sheetView>
  </sheetViews>
  <sheetFormatPr defaultColWidth="8.796875" defaultRowHeight="24.75" customHeight="1"/>
  <cols>
    <col min="1" max="1" width="1.203125" style="0" customWidth="1"/>
    <col min="2" max="2" width="11.69921875" style="0" customWidth="1"/>
    <col min="3" max="3" width="1.390625" style="0" customWidth="1"/>
    <col min="4" max="4" width="7.3984375" style="0" customWidth="1"/>
    <col min="5" max="5" width="15" style="0" customWidth="1"/>
    <col min="6" max="6" width="6.19921875" style="0" customWidth="1"/>
    <col min="7" max="7" width="7.09765625" style="0" customWidth="1"/>
    <col min="8" max="8" width="5.59765625" style="0" customWidth="1"/>
    <col min="9" max="9" width="5.19921875" style="0" customWidth="1"/>
    <col min="10" max="10" width="11.5" style="0" bestFit="1" customWidth="1"/>
    <col min="11" max="11" width="9.8984375" style="0" customWidth="1"/>
    <col min="12" max="12" width="15" style="0" customWidth="1"/>
  </cols>
  <sheetData>
    <row r="1" ht="10.5" customHeight="1" thickBot="1"/>
    <row r="2" spans="2:14" ht="24.75" customHeight="1">
      <c r="B2" s="93" t="s">
        <v>252</v>
      </c>
      <c r="C2" s="171"/>
      <c r="D2" s="172" t="s">
        <v>52</v>
      </c>
      <c r="E2" s="173" t="s">
        <v>257</v>
      </c>
      <c r="F2" s="173" t="s">
        <v>1</v>
      </c>
      <c r="G2" s="173" t="s">
        <v>2</v>
      </c>
      <c r="H2" s="173" t="s">
        <v>3</v>
      </c>
      <c r="I2" s="173" t="s">
        <v>4</v>
      </c>
      <c r="J2" s="174" t="s">
        <v>5</v>
      </c>
      <c r="K2" s="100" t="s">
        <v>255</v>
      </c>
      <c r="M2" s="94" t="s">
        <v>258</v>
      </c>
      <c r="N2" s="95"/>
    </row>
    <row r="3" spans="2:13" ht="24.75" customHeight="1">
      <c r="B3" s="104">
        <f>LARGE('スコア付き集計表'!$A$8:$A$47,1)</f>
        <v>0.750028</v>
      </c>
      <c r="C3" s="171"/>
      <c r="D3" s="386">
        <f>VLOOKUP(B3,'スコア付き集計表'!$A$8:$AB$47,28,FALSE)</f>
        <v>1</v>
      </c>
      <c r="E3" s="387" t="str">
        <f>VLOOKUP(B3,'スコア付き集計表'!$A$8:$D$47,4,FALSE)</f>
        <v>ディアス</v>
      </c>
      <c r="F3" s="96">
        <f>VLOOKUP(B3,'スコア付き集計表'!$A$8:$U$47,21,FALSE)</f>
        <v>4</v>
      </c>
      <c r="G3" s="96">
        <f>VLOOKUP(B3,'スコア付き集計表'!$A$8:$V$47,22,FALSE)</f>
        <v>3</v>
      </c>
      <c r="H3" s="96">
        <f>VLOOKUP(B3,'スコア付き集計表'!$A$8:$W$47,23,FALSE)</f>
        <v>1</v>
      </c>
      <c r="I3" s="96">
        <f>VLOOKUP(B3,'スコア付き集計表'!$A$8:$X$47,24,FALSE)</f>
        <v>0</v>
      </c>
      <c r="J3" s="107">
        <f>VLOOKUP(B3,'スコア付き集計表'!$A$8:$Y$47,25,FALSE)</f>
        <v>0.75</v>
      </c>
      <c r="K3" s="97" t="s">
        <v>259</v>
      </c>
      <c r="M3" s="92">
        <f>G3-H3</f>
        <v>2</v>
      </c>
    </row>
    <row r="4" spans="2:13" ht="24.75" customHeight="1">
      <c r="B4" s="104">
        <f>LARGE('スコア付き集計表'!$A$8:$A$47,2)</f>
        <v>0.750025</v>
      </c>
      <c r="C4" s="171"/>
      <c r="D4" s="386">
        <f>VLOOKUP(B4,'スコア付き集計表'!$A$8:$AB$47,28,FALSE)</f>
        <v>1</v>
      </c>
      <c r="E4" s="387" t="str">
        <f>VLOOKUP(B4,'スコア付き集計表'!$A$8:$D$47,4,FALSE)</f>
        <v>サンデーズＪｒ</v>
      </c>
      <c r="F4" s="96">
        <f>VLOOKUP(B4,'スコア付き集計表'!$A$8:$U$47,21,FALSE)</f>
        <v>4</v>
      </c>
      <c r="G4" s="96">
        <f>VLOOKUP(B4,'スコア付き集計表'!$A$8:$V$47,22,FALSE)</f>
        <v>3</v>
      </c>
      <c r="H4" s="96">
        <f>VLOOKUP(B4,'スコア付き集計表'!$A$8:$W$47,23,FALSE)</f>
        <v>1</v>
      </c>
      <c r="I4" s="96">
        <f>VLOOKUP(B4,'スコア付き集計表'!$A$8:$X$47,24,FALSE)</f>
        <v>0</v>
      </c>
      <c r="J4" s="107">
        <f>VLOOKUP(B4,'スコア付き集計表'!$A$8:$Y$47,25,FALSE)</f>
        <v>0.75</v>
      </c>
      <c r="K4" s="98">
        <f>(M3-M4)/2</f>
        <v>0</v>
      </c>
      <c r="M4" s="92">
        <f>G4-H4</f>
        <v>2</v>
      </c>
    </row>
    <row r="5" spans="2:13" ht="24.75" customHeight="1">
      <c r="B5" s="104">
        <f>LARGE('スコア付き集計表'!$A$8:$A$47,3)</f>
        <v>0.500006</v>
      </c>
      <c r="C5" s="171"/>
      <c r="D5" s="386">
        <f>VLOOKUP(B5,'スコア付き集計表'!$A$8:$AB$47,28,FALSE)</f>
        <v>3</v>
      </c>
      <c r="E5" s="387" t="str">
        <f>VLOOKUP(B5,'スコア付き集計表'!$A$8:$D$47,4,FALSE)</f>
        <v>エンジェルス</v>
      </c>
      <c r="F5" s="96">
        <f>VLOOKUP(B5,'スコア付き集計表'!$A$8:$U$47,21,FALSE)</f>
        <v>4</v>
      </c>
      <c r="G5" s="96">
        <f>VLOOKUP(B5,'スコア付き集計表'!$A$8:$V$47,22,FALSE)</f>
        <v>2</v>
      </c>
      <c r="H5" s="96">
        <f>VLOOKUP(B5,'スコア付き集計表'!$A$8:$W$47,23,FALSE)</f>
        <v>2</v>
      </c>
      <c r="I5" s="96">
        <f>VLOOKUP(B5,'スコア付き集計表'!$A$8:$X$47,24,FALSE)</f>
        <v>0</v>
      </c>
      <c r="J5" s="107">
        <f>VLOOKUP(B5,'スコア付き集計表'!$A$8:$Y$47,25,FALSE)</f>
        <v>0.5</v>
      </c>
      <c r="K5" s="98">
        <f>(M4-M5)/2</f>
        <v>1</v>
      </c>
      <c r="M5" s="92">
        <f>G5-H5</f>
        <v>0</v>
      </c>
    </row>
    <row r="6" spans="2:13" ht="24.75" customHeight="1" thickBot="1">
      <c r="B6" s="104">
        <f>LARGE('スコア付き集計表'!$A$8:$A$47,4)</f>
        <v>-3.3E-05</v>
      </c>
      <c r="C6" s="171"/>
      <c r="D6" s="388">
        <f>VLOOKUP(B6,'スコア付き集計表'!$A$8:$AB$47,28,FALSE)</f>
        <v>4</v>
      </c>
      <c r="E6" s="389" t="str">
        <f>VLOOKUP(B6,'スコア付き集計表'!$A$8:$D$47,4,FALSE)</f>
        <v>ベアーズ</v>
      </c>
      <c r="F6" s="175">
        <f>VLOOKUP(B6,'スコア付き集計表'!$A$8:$U$47,21,FALSE)</f>
        <v>4</v>
      </c>
      <c r="G6" s="175">
        <f>VLOOKUP(B6,'スコア付き集計表'!$A$8:$V$47,22,FALSE)</f>
        <v>0</v>
      </c>
      <c r="H6" s="175">
        <f>VLOOKUP(B6,'スコア付き集計表'!$A$8:$W$47,23,FALSE)</f>
        <v>4</v>
      </c>
      <c r="I6" s="175">
        <f>VLOOKUP(B6,'スコア付き集計表'!$A$8:$X$47,24,FALSE)</f>
        <v>0</v>
      </c>
      <c r="J6" s="228">
        <f>VLOOKUP(B6,'スコア付き集計表'!$A$8:$Y$47,25,FALSE)</f>
        <v>0</v>
      </c>
      <c r="K6" s="99">
        <f>(M5-M6)/2</f>
        <v>2</v>
      </c>
      <c r="M6" s="92">
        <f>G6-H6</f>
        <v>-4</v>
      </c>
    </row>
    <row r="7" ht="18" customHeight="1"/>
    <row r="8" spans="2:42" s="2" customFormat="1" ht="19.5" customHeight="1">
      <c r="B8" s="103" t="s">
        <v>263</v>
      </c>
      <c r="C8" s="14"/>
      <c r="D8" s="40"/>
      <c r="E8" s="44"/>
      <c r="F8" s="40"/>
      <c r="G8" s="40"/>
      <c r="H8" s="40"/>
      <c r="I8" s="40"/>
      <c r="J8" s="40"/>
      <c r="K8" s="40"/>
      <c r="L8" s="40"/>
      <c r="M8" s="40"/>
      <c r="N8" s="40"/>
      <c r="O8" s="40"/>
      <c r="P8" s="40"/>
      <c r="Q8" s="40"/>
      <c r="R8" s="40"/>
      <c r="S8" s="40"/>
      <c r="T8" s="40"/>
      <c r="U8" s="40"/>
      <c r="V8" s="40"/>
      <c r="W8" s="40"/>
      <c r="X8" s="40"/>
      <c r="Y8" s="40"/>
      <c r="Z8" s="40"/>
      <c r="AA8" s="40"/>
      <c r="AB8" s="40"/>
      <c r="AC8" s="40"/>
      <c r="AD8" s="45"/>
      <c r="AE8" s="45"/>
      <c r="AF8" s="45"/>
      <c r="AG8" s="45"/>
      <c r="AH8" s="46"/>
      <c r="AI8" s="45"/>
      <c r="AJ8" s="45"/>
      <c r="AK8" s="43"/>
      <c r="AL8" s="43"/>
      <c r="AN8" s="42"/>
      <c r="AO8" s="42"/>
      <c r="AP8" s="42"/>
    </row>
    <row r="9" spans="2:3" s="2" customFormat="1" ht="19.5" customHeight="1">
      <c r="B9" s="101" t="s">
        <v>0</v>
      </c>
      <c r="C9" s="2" t="s">
        <v>264</v>
      </c>
    </row>
    <row r="10" spans="2:41" s="3" customFormat="1" ht="19.5" customHeight="1">
      <c r="B10" s="101" t="s">
        <v>265</v>
      </c>
      <c r="C10" s="2" t="s">
        <v>266</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row>
    <row r="11" spans="2:41" s="3" customFormat="1" ht="19.5" customHeight="1">
      <c r="B11" s="101" t="s">
        <v>267</v>
      </c>
      <c r="C11" s="453" t="s">
        <v>268</v>
      </c>
      <c r="D11" s="453"/>
      <c r="E11" s="453"/>
      <c r="F11" s="453"/>
      <c r="G11" s="453"/>
      <c r="H11" s="453"/>
      <c r="I11" s="453"/>
      <c r="J11" s="453"/>
      <c r="K11" s="453"/>
      <c r="L11" s="453"/>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row>
    <row r="12" ht="19.5" customHeight="1"/>
    <row r="13" spans="2:4" ht="19.5" customHeight="1">
      <c r="B13" s="102" t="s">
        <v>262</v>
      </c>
      <c r="D13" s="102"/>
    </row>
    <row r="14" spans="2:12" ht="19.5" customHeight="1">
      <c r="B14" s="451" t="s">
        <v>275</v>
      </c>
      <c r="C14" s="451"/>
      <c r="D14" s="451"/>
      <c r="E14" s="451"/>
      <c r="F14" s="451"/>
      <c r="G14" s="451"/>
      <c r="H14" s="451"/>
      <c r="I14" s="451"/>
      <c r="J14" s="451"/>
      <c r="K14" s="451"/>
      <c r="L14" s="451"/>
    </row>
    <row r="15" spans="2:12" ht="19.5" customHeight="1">
      <c r="B15" s="451" t="s">
        <v>270</v>
      </c>
      <c r="C15" s="451"/>
      <c r="D15" s="451"/>
      <c r="E15" s="451"/>
      <c r="F15" s="451"/>
      <c r="G15" s="451"/>
      <c r="H15" s="451"/>
      <c r="I15" s="451"/>
      <c r="J15" s="451"/>
      <c r="K15" s="451"/>
      <c r="L15" s="451"/>
    </row>
    <row r="16" spans="2:12" ht="19.5" customHeight="1">
      <c r="B16" s="451" t="s">
        <v>269</v>
      </c>
      <c r="C16" s="451"/>
      <c r="D16" s="451"/>
      <c r="E16" s="451"/>
      <c r="F16" s="451"/>
      <c r="G16" s="451"/>
      <c r="H16" s="451"/>
      <c r="I16" s="451"/>
      <c r="J16" s="451"/>
      <c r="K16" s="451"/>
      <c r="L16" s="451"/>
    </row>
    <row r="17" spans="2:12" ht="19.5" customHeight="1">
      <c r="B17" s="451" t="s">
        <v>271</v>
      </c>
      <c r="C17" s="451"/>
      <c r="D17" s="451"/>
      <c r="E17" s="451"/>
      <c r="F17" s="451"/>
      <c r="G17" s="451"/>
      <c r="H17" s="451"/>
      <c r="I17" s="451"/>
      <c r="J17" s="451"/>
      <c r="K17" s="451"/>
      <c r="L17" s="451"/>
    </row>
    <row r="18" spans="2:12" ht="19.5" customHeight="1">
      <c r="B18" s="451" t="s">
        <v>272</v>
      </c>
      <c r="C18" s="451"/>
      <c r="D18" s="451"/>
      <c r="E18" s="451"/>
      <c r="F18" s="451"/>
      <c r="G18" s="451"/>
      <c r="H18" s="451"/>
      <c r="I18" s="451"/>
      <c r="J18" s="451"/>
      <c r="K18" s="451"/>
      <c r="L18" s="451"/>
    </row>
    <row r="19" spans="2:13" ht="19.5" customHeight="1">
      <c r="B19" s="452" t="s">
        <v>273</v>
      </c>
      <c r="C19" s="452"/>
      <c r="D19" s="452"/>
      <c r="E19" s="452"/>
      <c r="F19" s="452"/>
      <c r="G19" s="452"/>
      <c r="H19" s="452"/>
      <c r="I19" s="452"/>
      <c r="J19" s="452"/>
      <c r="K19" s="452"/>
      <c r="L19" s="452"/>
      <c r="M19" s="335"/>
    </row>
    <row r="20" spans="2:13" ht="24.75" customHeight="1">
      <c r="B20" s="452" t="s">
        <v>274</v>
      </c>
      <c r="C20" s="452"/>
      <c r="D20" s="452"/>
      <c r="E20" s="452"/>
      <c r="F20" s="452"/>
      <c r="G20" s="452"/>
      <c r="H20" s="452"/>
      <c r="I20" s="452"/>
      <c r="J20" s="452"/>
      <c r="K20" s="452"/>
      <c r="L20" s="452"/>
      <c r="M20" s="335"/>
    </row>
    <row r="21" spans="2:13" ht="24.75" customHeight="1">
      <c r="B21" s="451"/>
      <c r="C21" s="451"/>
      <c r="D21" s="451"/>
      <c r="E21" s="451"/>
      <c r="F21" s="451"/>
      <c r="G21" s="451"/>
      <c r="H21" s="451"/>
      <c r="I21" s="451"/>
      <c r="J21" s="451"/>
      <c r="K21" s="451"/>
      <c r="L21" s="451"/>
      <c r="M21" s="451"/>
    </row>
    <row r="22" spans="2:13" ht="24.75" customHeight="1">
      <c r="B22" s="451"/>
      <c r="C22" s="451"/>
      <c r="D22" s="451"/>
      <c r="E22" s="451"/>
      <c r="F22" s="451"/>
      <c r="G22" s="451"/>
      <c r="H22" s="451"/>
      <c r="I22" s="451"/>
      <c r="J22" s="451"/>
      <c r="K22" s="451"/>
      <c r="L22" s="451"/>
      <c r="M22" s="451"/>
    </row>
    <row r="23" spans="2:13" ht="24.75" customHeight="1">
      <c r="B23" s="451"/>
      <c r="C23" s="451"/>
      <c r="D23" s="451"/>
      <c r="E23" s="451"/>
      <c r="F23" s="451"/>
      <c r="G23" s="451"/>
      <c r="H23" s="451"/>
      <c r="I23" s="451"/>
      <c r="J23" s="451"/>
      <c r="K23" s="451"/>
      <c r="L23" s="451"/>
      <c r="M23" s="451"/>
    </row>
    <row r="24" spans="2:13" ht="24.75" customHeight="1">
      <c r="B24" s="451"/>
      <c r="C24" s="451"/>
      <c r="D24" s="451"/>
      <c r="E24" s="451"/>
      <c r="F24" s="451"/>
      <c r="G24" s="451"/>
      <c r="H24" s="451"/>
      <c r="I24" s="451"/>
      <c r="J24" s="451"/>
      <c r="K24" s="451"/>
      <c r="L24" s="451"/>
      <c r="M24" s="451"/>
    </row>
  </sheetData>
  <sheetProtection/>
  <mergeCells count="12">
    <mergeCell ref="C11:L11"/>
    <mergeCell ref="B15:L15"/>
    <mergeCell ref="B16:L16"/>
    <mergeCell ref="B17:L17"/>
    <mergeCell ref="B18:L18"/>
    <mergeCell ref="B19:L19"/>
    <mergeCell ref="B23:M23"/>
    <mergeCell ref="B24:M24"/>
    <mergeCell ref="B21:M21"/>
    <mergeCell ref="B22:M22"/>
    <mergeCell ref="B20:L20"/>
    <mergeCell ref="B14:L14"/>
  </mergeCells>
  <conditionalFormatting sqref="AD8">
    <cfRule type="cellIs" priority="1" dxfId="4" operator="greaterThan" stopIfTrue="1">
      <formula>30</formula>
    </cfRule>
  </conditionalFormatting>
  <printOptions/>
  <pageMargins left="0.75" right="0.41" top="0.66" bottom="0.48" header="0.512" footer="0.22"/>
  <pageSetup horizontalDpi="600" verticalDpi="600" orientation="landscape" paperSize="9" scale="130" r:id="rId2"/>
  <ignoredErrors>
    <ignoredError sqref="B3:B6 D3:K6 M3:M6" evalError="1"/>
  </ignoredErrors>
  <drawing r:id="rId1"/>
</worksheet>
</file>

<file path=xl/worksheets/sheet4.xml><?xml version="1.0" encoding="utf-8"?>
<worksheet xmlns="http://schemas.openxmlformats.org/spreadsheetml/2006/main" xmlns:r="http://schemas.openxmlformats.org/officeDocument/2006/relationships">
  <sheetPr>
    <tabColor indexed="12"/>
  </sheetPr>
  <dimension ref="B1:BA11"/>
  <sheetViews>
    <sheetView showGridLines="0" zoomScale="78" zoomScaleNormal="78" zoomScalePageLayoutView="0" workbookViewId="0" topLeftCell="A1">
      <selection activeCell="AW11" sqref="AW11"/>
    </sheetView>
  </sheetViews>
  <sheetFormatPr defaultColWidth="3.59765625" defaultRowHeight="24.75" customHeight="1"/>
  <cols>
    <col min="1" max="1" width="0.8984375" style="2" customWidth="1"/>
    <col min="2" max="2" width="3" style="3" customWidth="1"/>
    <col min="3" max="3" width="17.5" style="2" customWidth="1"/>
    <col min="4" max="43" width="2.59765625" style="2" customWidth="1"/>
    <col min="44" max="47" width="6.69921875" style="2" customWidth="1"/>
    <col min="48" max="48" width="9.296875" style="2" customWidth="1"/>
    <col min="49" max="49" width="6.69921875" style="2" customWidth="1"/>
    <col min="50" max="50" width="2.59765625" style="2" customWidth="1"/>
    <col min="51" max="53" width="4.69921875" style="2" customWidth="1"/>
    <col min="54" max="67" width="2.59765625" style="2" customWidth="1"/>
    <col min="68" max="68" width="7.59765625" style="2" customWidth="1"/>
    <col min="69" max="70" width="7.19921875" style="2" customWidth="1"/>
    <col min="71" max="71" width="5.69921875" style="2" customWidth="1"/>
    <col min="72" max="72" width="8.69921875" style="2" customWidth="1"/>
    <col min="73" max="73" width="8.5" style="2" customWidth="1"/>
    <col min="74" max="74" width="3.59765625" style="2" customWidth="1"/>
    <col min="75" max="75" width="8.69921875" style="2" customWidth="1"/>
    <col min="76" max="76" width="8.19921875" style="2" customWidth="1"/>
    <col min="77" max="77" width="8.3984375" style="2" customWidth="1"/>
    <col min="78" max="16384" width="3.59765625" style="2" customWidth="1"/>
  </cols>
  <sheetData>
    <row r="1" spans="24:45" ht="24.75" customHeight="1">
      <c r="X1" s="39"/>
      <c r="Y1" s="39"/>
      <c r="Z1" s="39"/>
      <c r="AA1" s="39"/>
      <c r="AB1" s="39"/>
      <c r="AC1" s="39"/>
      <c r="AD1" s="39"/>
      <c r="AE1" s="39"/>
      <c r="AF1" s="39"/>
      <c r="AG1" s="39"/>
      <c r="AH1" s="39"/>
      <c r="AI1" s="39"/>
      <c r="AJ1" s="39"/>
      <c r="AK1" s="39"/>
      <c r="AL1" s="39"/>
      <c r="AM1" s="39"/>
      <c r="AN1" s="39"/>
      <c r="AO1" s="39"/>
      <c r="AP1" s="39"/>
      <c r="AQ1" s="39"/>
      <c r="AR1" s="39"/>
      <c r="AS1" s="39"/>
    </row>
    <row r="2" spans="2:45" ht="24.75" customHeight="1">
      <c r="B2" s="137"/>
      <c r="C2" s="349"/>
      <c r="D2" s="349"/>
      <c r="E2" s="349"/>
      <c r="F2" s="349"/>
      <c r="G2" s="349"/>
      <c r="H2" s="349"/>
      <c r="I2" s="349"/>
      <c r="J2" s="349"/>
      <c r="K2" s="473" t="s">
        <v>248</v>
      </c>
      <c r="L2" s="473"/>
      <c r="M2" s="473"/>
      <c r="N2" s="473"/>
      <c r="O2" s="473"/>
      <c r="P2" s="473"/>
      <c r="Q2" s="473"/>
      <c r="R2" s="472">
        <f>IF(VLOOKUP("1",'素データ'!V:W,2,FALSE)="","",VLOOKUP("1",'素データ'!V:W,2,FALSE))</f>
        <v>45410</v>
      </c>
      <c r="S2" s="472"/>
      <c r="T2" s="472"/>
      <c r="U2" s="472"/>
      <c r="V2" s="472"/>
      <c r="W2" s="472"/>
      <c r="X2" s="350"/>
      <c r="Y2" s="474" t="str">
        <f>IF(OR(R2="",R2="完了"),"","分まで表示")</f>
        <v>分まで表示</v>
      </c>
      <c r="Z2" s="474"/>
      <c r="AA2" s="474"/>
      <c r="AB2" s="474"/>
      <c r="AC2" s="474"/>
      <c r="AD2" s="474"/>
      <c r="AE2" s="338"/>
      <c r="AF2" s="338"/>
      <c r="AG2" s="338"/>
      <c r="AH2" s="338"/>
      <c r="AI2" s="338"/>
      <c r="AJ2" s="338"/>
      <c r="AK2" s="338"/>
      <c r="AL2" s="338"/>
      <c r="AM2" s="338"/>
      <c r="AN2" s="338"/>
      <c r="AO2" s="338"/>
      <c r="AP2" s="338"/>
      <c r="AQ2" s="338"/>
      <c r="AR2" s="338"/>
      <c r="AS2" s="338"/>
    </row>
    <row r="3" spans="2:45" ht="24.75" customHeight="1">
      <c r="B3" s="137"/>
      <c r="C3" s="349"/>
      <c r="D3" s="349"/>
      <c r="E3" s="349"/>
      <c r="F3" s="349"/>
      <c r="G3" s="349"/>
      <c r="H3" s="349"/>
      <c r="I3" s="349"/>
      <c r="J3" s="349"/>
      <c r="K3" s="349"/>
      <c r="L3" s="349"/>
      <c r="M3" s="349"/>
      <c r="N3" s="349"/>
      <c r="O3" s="349"/>
      <c r="P3" s="349"/>
      <c r="Q3" s="349"/>
      <c r="R3" s="349"/>
      <c r="S3" s="349"/>
      <c r="T3" s="349"/>
      <c r="U3" s="349"/>
      <c r="V3" s="349"/>
      <c r="W3" s="349"/>
      <c r="X3" s="338"/>
      <c r="Y3" s="338"/>
      <c r="Z3" s="338"/>
      <c r="AA3" s="338"/>
      <c r="AB3" s="338"/>
      <c r="AC3" s="338"/>
      <c r="AD3" s="338"/>
      <c r="AE3" s="338"/>
      <c r="AF3" s="338"/>
      <c r="AG3" s="338"/>
      <c r="AH3" s="338"/>
      <c r="AI3" s="338"/>
      <c r="AJ3" s="338"/>
      <c r="AK3" s="338"/>
      <c r="AL3" s="338"/>
      <c r="AM3" s="338"/>
      <c r="AN3" s="338"/>
      <c r="AO3" s="338"/>
      <c r="AP3" s="338"/>
      <c r="AQ3" s="338"/>
      <c r="AR3" s="338"/>
      <c r="AS3" s="338"/>
    </row>
    <row r="4" spans="2:53" ht="24.75" customHeight="1">
      <c r="B4" s="471" t="s">
        <v>453</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336"/>
      <c r="AS4" s="336"/>
      <c r="AT4" s="41"/>
      <c r="AU4" s="41"/>
      <c r="AV4" s="41"/>
      <c r="AW4" s="41"/>
      <c r="AY4" s="470" t="s">
        <v>65</v>
      </c>
      <c r="AZ4" s="470"/>
      <c r="BA4" s="470"/>
    </row>
    <row r="5" ht="13.5" customHeight="1" thickBot="1"/>
    <row r="6" spans="2:53" s="3" customFormat="1" ht="24.75" customHeight="1" thickBot="1">
      <c r="B6" s="457"/>
      <c r="C6" s="458"/>
      <c r="D6" s="461" t="str">
        <f>B8</f>
        <v>A</v>
      </c>
      <c r="E6" s="462"/>
      <c r="F6" s="462"/>
      <c r="G6" s="462"/>
      <c r="H6" s="462"/>
      <c r="I6" s="462"/>
      <c r="J6" s="462"/>
      <c r="K6" s="462"/>
      <c r="L6" s="462"/>
      <c r="M6" s="463"/>
      <c r="N6" s="461" t="str">
        <f>B9</f>
        <v>B</v>
      </c>
      <c r="O6" s="462"/>
      <c r="P6" s="462"/>
      <c r="Q6" s="462"/>
      <c r="R6" s="462"/>
      <c r="S6" s="462"/>
      <c r="T6" s="462"/>
      <c r="U6" s="462"/>
      <c r="V6" s="462"/>
      <c r="W6" s="463"/>
      <c r="X6" s="461" t="str">
        <f>B10</f>
        <v>C</v>
      </c>
      <c r="Y6" s="462"/>
      <c r="Z6" s="462"/>
      <c r="AA6" s="462"/>
      <c r="AB6" s="462"/>
      <c r="AC6" s="462"/>
      <c r="AD6" s="462"/>
      <c r="AE6" s="462"/>
      <c r="AF6" s="462"/>
      <c r="AG6" s="463"/>
      <c r="AH6" s="461" t="str">
        <f>B11</f>
        <v>D</v>
      </c>
      <c r="AI6" s="462"/>
      <c r="AJ6" s="462"/>
      <c r="AK6" s="462"/>
      <c r="AL6" s="462"/>
      <c r="AM6" s="462"/>
      <c r="AN6" s="462"/>
      <c r="AO6" s="462"/>
      <c r="AP6" s="462"/>
      <c r="AQ6" s="463"/>
      <c r="AR6" s="467" t="s">
        <v>1</v>
      </c>
      <c r="AS6" s="467" t="s">
        <v>2</v>
      </c>
      <c r="AT6" s="467" t="s">
        <v>3</v>
      </c>
      <c r="AU6" s="475" t="s">
        <v>4</v>
      </c>
      <c r="AV6" s="467" t="s">
        <v>5</v>
      </c>
      <c r="AW6" s="467" t="s">
        <v>52</v>
      </c>
      <c r="AY6" s="469"/>
      <c r="AZ6" s="469"/>
      <c r="BA6" s="469"/>
    </row>
    <row r="7" spans="2:53" s="3" customFormat="1" ht="24.75" customHeight="1" thickBot="1">
      <c r="B7" s="459"/>
      <c r="C7" s="460"/>
      <c r="D7" s="464" t="str">
        <f>VLOOKUP(D6,$B$8:$C$11,2,FALSE)</f>
        <v>ディアス</v>
      </c>
      <c r="E7" s="465"/>
      <c r="F7" s="465"/>
      <c r="G7" s="465"/>
      <c r="H7" s="465"/>
      <c r="I7" s="465"/>
      <c r="J7" s="465"/>
      <c r="K7" s="465"/>
      <c r="L7" s="465"/>
      <c r="M7" s="466"/>
      <c r="N7" s="464" t="str">
        <f>VLOOKUP(N6,$B$8:$C$11,2,FALSE)</f>
        <v>ベアーズ</v>
      </c>
      <c r="O7" s="465"/>
      <c r="P7" s="465"/>
      <c r="Q7" s="465"/>
      <c r="R7" s="465"/>
      <c r="S7" s="465"/>
      <c r="T7" s="465"/>
      <c r="U7" s="465"/>
      <c r="V7" s="465"/>
      <c r="W7" s="466"/>
      <c r="X7" s="464" t="str">
        <f>VLOOKUP(X6,$B$8:$C$11,2,FALSE)</f>
        <v>エンジェルス</v>
      </c>
      <c r="Y7" s="465"/>
      <c r="Z7" s="465"/>
      <c r="AA7" s="465"/>
      <c r="AB7" s="465"/>
      <c r="AC7" s="465"/>
      <c r="AD7" s="465"/>
      <c r="AE7" s="465"/>
      <c r="AF7" s="465"/>
      <c r="AG7" s="466"/>
      <c r="AH7" s="464" t="str">
        <f>VLOOKUP(AH6,$B$8:$C$11,2,FALSE)</f>
        <v>サンデーズＪｒ</v>
      </c>
      <c r="AI7" s="465"/>
      <c r="AJ7" s="465"/>
      <c r="AK7" s="465"/>
      <c r="AL7" s="465"/>
      <c r="AM7" s="465"/>
      <c r="AN7" s="465"/>
      <c r="AO7" s="465"/>
      <c r="AP7" s="465"/>
      <c r="AQ7" s="466"/>
      <c r="AR7" s="468"/>
      <c r="AS7" s="468"/>
      <c r="AT7" s="468"/>
      <c r="AU7" s="476"/>
      <c r="AV7" s="468"/>
      <c r="AW7" s="468"/>
      <c r="AY7" s="56" t="s">
        <v>2</v>
      </c>
      <c r="AZ7" s="57" t="s">
        <v>3</v>
      </c>
      <c r="BA7" s="58" t="s">
        <v>4</v>
      </c>
    </row>
    <row r="8" spans="2:53" ht="24.75" customHeight="1" thickBot="1">
      <c r="B8" s="339" t="str">
        <f>'素データ'!Y7</f>
        <v>A</v>
      </c>
      <c r="C8" s="340" t="str">
        <f>VLOOKUP(B8,'素データ'!$Y$7:$Z$14,2,FALSE)</f>
        <v>ディアス</v>
      </c>
      <c r="D8" s="454" t="s">
        <v>448</v>
      </c>
      <c r="E8" s="455"/>
      <c r="F8" s="455"/>
      <c r="G8" s="455"/>
      <c r="H8" s="455"/>
      <c r="I8" s="455"/>
      <c r="J8" s="455"/>
      <c r="K8" s="455"/>
      <c r="L8" s="455"/>
      <c r="M8" s="456"/>
      <c r="N8" s="341" t="str">
        <f>IF(ISNA(VLOOKUP("AB1",'素データ'!$P:$R,3,FALSE)),"",VLOOKUP("AB1",'素データ'!$P:$R,3,FALSE))</f>
        <v>○</v>
      </c>
      <c r="O8" s="342" t="str">
        <f>IF(ISNA(VLOOKUP("AB2",'素データ'!$P:$R,3,FALSE)),"",VLOOKUP("AB2",'素データ'!$P:$R,3,FALSE))</f>
        <v>○</v>
      </c>
      <c r="P8" s="342">
        <f>IF(ISNA(VLOOKUP("AB3",'素データ'!$P:$R,3,FALSE)),"",VLOOKUP("AB3",'素データ'!$P:$R,3,FALSE))</f>
      </c>
      <c r="Q8" s="342">
        <f>IF(ISNA(VLOOKUP("AB4",'素データ'!$P:$R,3,FALSE)),"",VLOOKUP("AB4",'素データ'!$P:$R,3,FALSE))</f>
      </c>
      <c r="R8" s="342">
        <f>IF(ISNA(VLOOKUP("AB5",'素データ'!$P:$R,3,FALSE)),"",VLOOKUP("AB5",'素データ'!$P:$R,3,FALSE))</f>
      </c>
      <c r="S8" s="342">
        <f>IF(ISNA(VLOOKUP("AB6",'素データ'!$P:$R,3,FALSE)),"",VLOOKUP("AB6",'素データ'!$P:$R,3,FALSE))</f>
      </c>
      <c r="T8" s="342">
        <f>IF(ISNA(VLOOKUP("AB7",'素データ'!$P:$R,3,FALSE)),"",VLOOKUP("AB7",'素データ'!$P:$R,3,FALSE))</f>
      </c>
      <c r="U8" s="342">
        <f>IF(ISNA(VLOOKUP("AB8",'素データ'!$P:$R,3,FALSE)),"",VLOOKUP("AB8",'素データ'!$P:$R,3,FALSE))</f>
      </c>
      <c r="V8" s="342">
        <f>IF(ISNA(VLOOKUP("AB9",'素データ'!$P:$R,3,FALSE)),"",VLOOKUP("AB9",'素データ'!$P:$R,3,FALSE))</f>
      </c>
      <c r="W8" s="342">
        <f>IF(ISNA(VLOOKUP("AB10",'素データ'!$P:$R,3,FALSE)),"",VLOOKUP("AB10",'素データ'!$P:$R,3,FALSE))</f>
      </c>
      <c r="X8" s="341" t="str">
        <f>IF(ISNA(VLOOKUP("AC1",'素データ'!$P:$R,3,FALSE)),"",VLOOKUP("AC1",'素データ'!$P:$R,3,FALSE))</f>
        <v>○</v>
      </c>
      <c r="Y8" s="342">
        <f>IF(ISNA(VLOOKUP("AC2",'素データ'!$P:$R,3,FALSE)),"",VLOOKUP("AC2",'素データ'!$P:$R,3,FALSE))</f>
      </c>
      <c r="Z8" s="342">
        <f>IF(ISNA(VLOOKUP("AC3",'素データ'!$P:$R,3,FALSE)),"",VLOOKUP("AC3",'素データ'!$P:$R,3,FALSE))</f>
      </c>
      <c r="AA8" s="342">
        <f>IF(ISNA(VLOOKUP("AC4",'素データ'!$P:$R,3,FALSE)),"",VLOOKUP("AC4",'素データ'!$P:$R,3,FALSE))</f>
      </c>
      <c r="AB8" s="342">
        <f>IF(ISNA(VLOOKUP("AC5",'素データ'!$P:$R,3,FALSE)),"",VLOOKUP("AC5",'素データ'!$P:$R,3,FALSE))</f>
      </c>
      <c r="AC8" s="342">
        <f>IF(ISNA(VLOOKUP("AC6",'素データ'!$P:$R,3,FALSE)),"",VLOOKUP("AC6",'素データ'!$P:$R,3,FALSE))</f>
      </c>
      <c r="AD8" s="342">
        <f>IF(ISNA(VLOOKUP("AC7",'素データ'!$P:$R,3,FALSE)),"",VLOOKUP("AC7",'素データ'!$P:$R,3,FALSE))</f>
      </c>
      <c r="AE8" s="342">
        <f>IF(ISNA(VLOOKUP("AC8",'素データ'!$P:$R,3,FALSE)),"",VLOOKUP("AC8",'素データ'!$P:$R,3,FALSE))</f>
      </c>
      <c r="AF8" s="342">
        <f>IF(ISNA(VLOOKUP("AC9",'素データ'!$P:$R,3,FALSE)),"",VLOOKUP("AC9",'素データ'!$P:$R,3,FALSE))</f>
      </c>
      <c r="AG8" s="342">
        <f>IF(ISNA(VLOOKUP("AC10",'素データ'!$P:$R,3,FALSE)),"",VLOOKUP("AC10",'素データ'!$P:$R,3,FALSE))</f>
      </c>
      <c r="AH8" s="341" t="str">
        <f>IF(ISNA(VLOOKUP("AD1",'素データ'!$P:$R,3,FALSE)),"",VLOOKUP("AD1",'素データ'!$P:$R,3,FALSE))</f>
        <v>●</v>
      </c>
      <c r="AI8" s="342">
        <f>IF(ISNA(VLOOKUP("AD2",'素データ'!$P:$R,3,FALSE)),"",VLOOKUP("AD2",'素データ'!$P:$R,3,FALSE))</f>
      </c>
      <c r="AJ8" s="342">
        <f>IF(ISNA(VLOOKUP("AD3",'素データ'!$P:$R,3,FALSE)),"",VLOOKUP("AD3",'素データ'!$P:$R,3,FALSE))</f>
      </c>
      <c r="AK8" s="342">
        <f>IF(ISNA(VLOOKUP("AD4",'素データ'!$P:$R,3,FALSE)),"",VLOOKUP("AD4",'素データ'!$P:$R,3,FALSE))</f>
      </c>
      <c r="AL8" s="342">
        <f>IF(ISNA(VLOOKUP("AD5",'素データ'!$P:$R,3,FALSE)),"",VLOOKUP("AD5",'素データ'!$P:$R,3,FALSE))</f>
      </c>
      <c r="AM8" s="342">
        <f>IF(ISNA(VLOOKUP("AD6",'素データ'!$P:$R,3,FALSE)),"",VLOOKUP("AD6",'素データ'!$P:$R,3,FALSE))</f>
      </c>
      <c r="AN8" s="342">
        <f>IF(ISNA(VLOOKUP("AD7",'素データ'!$P:$R,3,FALSE)),"",VLOOKUP("AD7",'素データ'!$P:$R,3,FALSE))</f>
      </c>
      <c r="AO8" s="342">
        <f>IF(ISNA(VLOOKUP("AD8",'素データ'!$P:$R,3,FALSE)),"",VLOOKUP("AD8",'素データ'!$P:$R,3,FALSE))</f>
      </c>
      <c r="AP8" s="342">
        <f>IF(ISNA(VLOOKUP("AD9",'素データ'!$P:$R,3,FALSE)),"",VLOOKUP("AD9",'素データ'!$P:$R,3,FALSE))</f>
      </c>
      <c r="AQ8" s="342">
        <f>IF(ISNA(VLOOKUP("AD10",'素データ'!$P:$R,3,FALSE)),"",VLOOKUP("AD10",'素データ'!$P:$R,3,FALSE))</f>
      </c>
      <c r="AR8" s="343">
        <f>SUM(AS8:AU8)</f>
        <v>4</v>
      </c>
      <c r="AS8" s="344">
        <f>COUNTIF(D8:AQ8,"○")</f>
        <v>3</v>
      </c>
      <c r="AT8" s="343">
        <f>COUNTIF(D8:AQ8,"●")</f>
        <v>1</v>
      </c>
      <c r="AU8" s="344">
        <f>COUNTIF(D8:AQ8,"△")</f>
        <v>0</v>
      </c>
      <c r="AV8" s="345">
        <f>AS8/(AS8+AT8)</f>
        <v>0.75</v>
      </c>
      <c r="AW8" s="346">
        <f>RANK(AV8,$AV$8:$AV$11,0)</f>
        <v>1</v>
      </c>
      <c r="AX8" s="176"/>
      <c r="AY8" s="180" t="str">
        <f>IF(AS8=((DCOUNTA('素データ'!$F$5:$L$36,"試合結果",criteria!B1:H2))+(DCOUNTA('素データ'!$F$5:$L$36,"試合結果",criteria!B3:H4))),"OK","NG")</f>
        <v>OK</v>
      </c>
      <c r="AZ8" s="181" t="str">
        <f>IF(AT8=((DCOUNTA('素データ'!$F$5:$L$36,"試合結果",criteria!B5:H6))+(DCOUNTA('素データ'!$F$5:$L$36,"試合結果",criteria!B7:H8))),"OK","NG")</f>
        <v>OK</v>
      </c>
      <c r="BA8" s="182" t="str">
        <f>IF(AU8=((DCOUNTA('素データ'!$F$5:$L$36,"試合結果",criteria!B9:H10))+(DCOUNTA('素データ'!$F$5:$L$36,"試合結果",criteria!B11:H12))),"OK","NG")</f>
        <v>OK</v>
      </c>
    </row>
    <row r="9" spans="2:53" ht="24.75" customHeight="1" thickBot="1">
      <c r="B9" s="339" t="str">
        <f>'素データ'!Y8</f>
        <v>B</v>
      </c>
      <c r="C9" s="340" t="str">
        <f>VLOOKUP(B9,'素データ'!$Y$7:$Z$14,2,FALSE)</f>
        <v>ベアーズ</v>
      </c>
      <c r="D9" s="347" t="str">
        <f>IF(N8="","",VLOOKUP(N8,'素データ'!$Z$21:$AA$23,2,FALSE))</f>
        <v>●</v>
      </c>
      <c r="E9" s="348" t="str">
        <f>IF(O8="","",VLOOKUP(O8,'素データ'!$Z$21:$AA$23,2,FALSE))</f>
        <v>●</v>
      </c>
      <c r="F9" s="348">
        <f>IF(P8="","",VLOOKUP(P8,'素データ'!$Z$21:$AA$23,2,FALSE))</f>
      </c>
      <c r="G9" s="348">
        <f>IF(Q8="","",VLOOKUP(Q8,'素データ'!$Z$21:$AA$23,2,FALSE))</f>
      </c>
      <c r="H9" s="348">
        <f>IF(R8="","",VLOOKUP(R8,'素データ'!$Z$21:$AA$23,2,FALSE))</f>
      </c>
      <c r="I9" s="348">
        <f>IF(S8="","",VLOOKUP(S8,'素データ'!$Z$21:$AA$23,2,FALSE))</f>
      </c>
      <c r="J9" s="348">
        <f>IF(T8="","",VLOOKUP(T8,'素データ'!$Z$21:$AA$23,2,FALSE))</f>
      </c>
      <c r="K9" s="348">
        <f>IF(U8="","",VLOOKUP(U8,'素データ'!$Z$21:$AA$23,2,FALSE))</f>
      </c>
      <c r="L9" s="348">
        <f>IF(V8="","",VLOOKUP(V8,'素データ'!$Z$21:$AA$23,2,FALSE))</f>
      </c>
      <c r="M9" s="348">
        <f>IF(W8="","",VLOOKUP(W8,'素データ'!$Z$21:$AA$23,2,FALSE))</f>
      </c>
      <c r="N9" s="454" t="s">
        <v>448</v>
      </c>
      <c r="O9" s="455"/>
      <c r="P9" s="455"/>
      <c r="Q9" s="455"/>
      <c r="R9" s="455"/>
      <c r="S9" s="455"/>
      <c r="T9" s="455"/>
      <c r="U9" s="455"/>
      <c r="V9" s="455"/>
      <c r="W9" s="456"/>
      <c r="X9" s="341" t="str">
        <f>IF(ISNA(VLOOKUP("BC1",'素データ'!$P:$R,3,FALSE)),"",VLOOKUP("BC1",'素データ'!$P:$R,3,FALSE))</f>
        <v>●</v>
      </c>
      <c r="Y9" s="342">
        <f>IF(ISNA(VLOOKUP("BC2",'素データ'!$P:$R,3,FALSE)),"",VLOOKUP("BC2",'素データ'!$P:$R,3,FALSE))</f>
      </c>
      <c r="Z9" s="342">
        <f>IF(ISNA(VLOOKUP("BC3",'素データ'!$P:$R,3,FALSE)),"",VLOOKUP("BC3",'素データ'!$P:$R,3,FALSE))</f>
      </c>
      <c r="AA9" s="342">
        <f>IF(ISNA(VLOOKUP("BC4",'素データ'!$P:$R,3,FALSE)),"",VLOOKUP("BC4",'素データ'!$P:$R,3,FALSE))</f>
      </c>
      <c r="AB9" s="342">
        <f>IF(ISNA(VLOOKUP("BC5",'素データ'!$P:$R,3,FALSE)),"",VLOOKUP("BC5",'素データ'!$P:$R,3,FALSE))</f>
      </c>
      <c r="AC9" s="342">
        <f>IF(ISNA(VLOOKUP("BC6",'素データ'!$P:$R,3,FALSE)),"",VLOOKUP("BC6",'素データ'!$P:$R,3,FALSE))</f>
      </c>
      <c r="AD9" s="342">
        <f>IF(ISNA(VLOOKUP("BC7",'素データ'!$P:$R,3,FALSE)),"",VLOOKUP("BC7",'素データ'!$P:$R,3,FALSE))</f>
      </c>
      <c r="AE9" s="342">
        <f>IF(ISNA(VLOOKUP("BC8",'素データ'!$P:$R,3,FALSE)),"",VLOOKUP("BC8",'素データ'!$P:$R,3,FALSE))</f>
      </c>
      <c r="AF9" s="342">
        <f>IF(ISNA(VLOOKUP("BC9",'素データ'!$P:$R,3,FALSE)),"",VLOOKUP("BC9",'素データ'!$P:$R,3,FALSE))</f>
      </c>
      <c r="AG9" s="342">
        <f>IF(ISNA(VLOOKUP("BC10",'素データ'!$P:$R,3,FALSE)),"",VLOOKUP("BC10",'素データ'!$P:$R,3,FALSE))</f>
      </c>
      <c r="AH9" s="341" t="str">
        <f>IF(ISNA(VLOOKUP("BD1",'素データ'!$P:$R,3,FALSE)),"",VLOOKUP("BD1",'素データ'!$P:$R,3,FALSE))</f>
        <v>●</v>
      </c>
      <c r="AI9" s="342">
        <f>IF(ISNA(VLOOKUP("BD2",'素データ'!$P:$R,3,FALSE)),"",VLOOKUP("BD2",'素データ'!$P:$R,3,FALSE))</f>
      </c>
      <c r="AJ9" s="342">
        <f>IF(ISNA(VLOOKUP("BD3",'素データ'!$P:$R,3,FALSE)),"",VLOOKUP("BD3",'素データ'!$P:$R,3,FALSE))</f>
      </c>
      <c r="AK9" s="342">
        <f>IF(ISNA(VLOOKUP("BD4",'素データ'!$P:$R,3,FALSE)),"",VLOOKUP("BD4",'素データ'!$P:$R,3,FALSE))</f>
      </c>
      <c r="AL9" s="342">
        <f>IF(ISNA(VLOOKUP("BD5",'素データ'!$P:$R,3,FALSE)),"",VLOOKUP("BD5",'素データ'!$P:$R,3,FALSE))</f>
      </c>
      <c r="AM9" s="342">
        <f>IF(ISNA(VLOOKUP("BD6",'素データ'!$P:$R,3,FALSE)),"",VLOOKUP("BD6",'素データ'!$P:$R,3,FALSE))</f>
      </c>
      <c r="AN9" s="342">
        <f>IF(ISNA(VLOOKUP("BD7",'素データ'!$P:$R,3,FALSE)),"",VLOOKUP("BD7",'素データ'!$P:$R,3,FALSE))</f>
      </c>
      <c r="AO9" s="342">
        <f>IF(ISNA(VLOOKUP("BD8",'素データ'!$P:$R,3,FALSE)),"",VLOOKUP("BD8",'素データ'!$P:$R,3,FALSE))</f>
      </c>
      <c r="AP9" s="342">
        <f>IF(ISNA(VLOOKUP("BD9",'素データ'!$P:$R,3,FALSE)),"",VLOOKUP("BD9",'素データ'!$P:$R,3,FALSE))</f>
      </c>
      <c r="AQ9" s="342">
        <f>IF(ISNA(VLOOKUP("BD10",'素データ'!$P:$R,3,FALSE)),"",VLOOKUP("BD10",'素データ'!$P:$R,3,FALSE))</f>
      </c>
      <c r="AR9" s="343">
        <f>SUM(AS9:AU9)</f>
        <v>4</v>
      </c>
      <c r="AS9" s="344">
        <f>COUNTIF(D9:AQ9,"○")</f>
        <v>0</v>
      </c>
      <c r="AT9" s="343">
        <f>COUNTIF(D9:AQ9,"●")</f>
        <v>4</v>
      </c>
      <c r="AU9" s="344">
        <f>COUNTIF(D9:AQ9,"△")</f>
        <v>0</v>
      </c>
      <c r="AV9" s="345">
        <f>AS9/(AS9+AT9)</f>
        <v>0</v>
      </c>
      <c r="AW9" s="346">
        <f>RANK(AV9,$AV$8:$AV$11,0)</f>
        <v>4</v>
      </c>
      <c r="AX9" s="176"/>
      <c r="AY9" s="180" t="str">
        <f>IF(AS9=((DCOUNTA('素データ'!$F$5:$L$36,"試合結果",criteria!B13:H14))+(DCOUNTA('素データ'!$F$5:$L$36,"試合結果",criteria!B15:H16))),"OK","NG")</f>
        <v>OK</v>
      </c>
      <c r="AZ9" s="181" t="str">
        <f>IF(AT9=((DCOUNTA('素データ'!$F$5:$L$36,"試合結果",criteria!B17:H18))+(DCOUNTA('素データ'!$F$5:$L$36,"試合結果",criteria!B19:H20))),"OK","NG")</f>
        <v>OK</v>
      </c>
      <c r="BA9" s="182" t="str">
        <f>IF(AU9=((DCOUNTA('素データ'!$F$5:$L$36,"試合結果",criteria!B21:H22))+(DCOUNTA('素データ'!$F$5:$L$36,"試合結果",criteria!B23:H24))),"OK","NG")</f>
        <v>OK</v>
      </c>
    </row>
    <row r="10" spans="2:53" ht="24.75" customHeight="1" thickBot="1">
      <c r="B10" s="339" t="str">
        <f>'素データ'!Y9</f>
        <v>C</v>
      </c>
      <c r="C10" s="340" t="str">
        <f>VLOOKUP(B10,'素データ'!$Y$7:$Z$14,2,FALSE)</f>
        <v>エンジェルス</v>
      </c>
      <c r="D10" s="347" t="str">
        <f>IF(X8="","",VLOOKUP(X8,'素データ'!$Z$21:$AA$23,2,FALSE))</f>
        <v>●</v>
      </c>
      <c r="E10" s="348">
        <f>IF(Y8="","",VLOOKUP(Y8,'素データ'!$Z$21:$AA$23,2,FALSE))</f>
      </c>
      <c r="F10" s="348">
        <f>IF(Z8="","",VLOOKUP(Z8,'素データ'!$Z$21:$AA$23,2,FALSE))</f>
      </c>
      <c r="G10" s="348">
        <f>IF(AA8="","",VLOOKUP(AA8,'素データ'!$Z$21:$AA$23,2,FALSE))</f>
      </c>
      <c r="H10" s="348">
        <f>IF(AB8="","",VLOOKUP(AB8,'素データ'!$Z$21:$AA$23,2,FALSE))</f>
      </c>
      <c r="I10" s="348">
        <f>IF(AC8="","",VLOOKUP(AC8,'素データ'!$Z$21:$AA$23,2,FALSE))</f>
      </c>
      <c r="J10" s="348">
        <f>IF(AD8="","",VLOOKUP(AD8,'素データ'!$Z$21:$AA$23,2,FALSE))</f>
      </c>
      <c r="K10" s="348">
        <f>IF(AE8="","",VLOOKUP(AE8,'素データ'!$Z$21:$AA$23,2,FALSE))</f>
      </c>
      <c r="L10" s="348">
        <f>IF(AF8="","",VLOOKUP(AF8,'素データ'!$Z$21:$AA$23,2,FALSE))</f>
      </c>
      <c r="M10" s="348">
        <f>IF(AG8="","",VLOOKUP(AG8,'素データ'!$Z$21:$AA$23,2,FALSE))</f>
      </c>
      <c r="N10" s="347" t="str">
        <f>IF(X9="","",VLOOKUP(X9,'素データ'!$Z$21:$AA$23,2,FALSE))</f>
        <v>○</v>
      </c>
      <c r="O10" s="348">
        <f>IF(Y9="","",VLOOKUP(Y9,'素データ'!$Z$21:$AA$23,2,FALSE))</f>
      </c>
      <c r="P10" s="348">
        <f>IF(Z9="","",VLOOKUP(Z9,'素データ'!$Z$21:$AA$23,2,FALSE))</f>
      </c>
      <c r="Q10" s="348">
        <f>IF(AA9="","",VLOOKUP(AA9,'素データ'!$Z$21:$AA$23,2,FALSE))</f>
      </c>
      <c r="R10" s="348">
        <f>IF(AB9="","",VLOOKUP(AB9,'素データ'!$Z$21:$AA$23,2,FALSE))</f>
      </c>
      <c r="S10" s="348">
        <f>IF(AC9="","",VLOOKUP(AC9,'素データ'!$Z$21:$AA$23,2,FALSE))</f>
      </c>
      <c r="T10" s="348">
        <f>IF(AD9="","",VLOOKUP(AD9,'素データ'!$Z$21:$AA$23,2,FALSE))</f>
      </c>
      <c r="U10" s="348">
        <f>IF(AE9="","",VLOOKUP(AE9,'素データ'!$Z$21:$AA$23,2,FALSE))</f>
      </c>
      <c r="V10" s="348">
        <f>IF(AF9="","",VLOOKUP(AF9,'素データ'!$Z$21:$AA$23,2,FALSE))</f>
      </c>
      <c r="W10" s="348">
        <f>IF(AG9="","",VLOOKUP(AG9,'素データ'!$Z$21:$AA$23,2,FALSE))</f>
      </c>
      <c r="X10" s="454" t="s">
        <v>448</v>
      </c>
      <c r="Y10" s="455"/>
      <c r="Z10" s="455"/>
      <c r="AA10" s="455"/>
      <c r="AB10" s="455"/>
      <c r="AC10" s="455"/>
      <c r="AD10" s="455"/>
      <c r="AE10" s="455"/>
      <c r="AF10" s="455"/>
      <c r="AG10" s="456"/>
      <c r="AH10" s="341" t="str">
        <f>IF(ISNA(VLOOKUP("CD1",'素データ'!$P:$R,3,FALSE)),"",VLOOKUP("CD1",'素データ'!$P:$R,3,FALSE))</f>
        <v>●</v>
      </c>
      <c r="AI10" s="342" t="str">
        <f>IF(ISNA(VLOOKUP("CD2",'素データ'!$P:$R,3,FALSE)),"",VLOOKUP("CD2",'素データ'!$P:$R,3,FALSE))</f>
        <v>○</v>
      </c>
      <c r="AJ10" s="342">
        <f>IF(ISNA(VLOOKUP("CD3",'素データ'!$P:$R,3,FALSE)),"",VLOOKUP("CD3",'素データ'!$P:$R,3,FALSE))</f>
      </c>
      <c r="AK10" s="342">
        <f>IF(ISNA(VLOOKUP("CD4",'素データ'!$P:$R,3,FALSE)),"",VLOOKUP("CD4",'素データ'!$P:$R,3,FALSE))</f>
      </c>
      <c r="AL10" s="342">
        <f>IF(ISNA(VLOOKUP("CD5",'素データ'!$P:$R,3,FALSE)),"",VLOOKUP("CD5",'素データ'!$P:$R,3,FALSE))</f>
      </c>
      <c r="AM10" s="342">
        <f>IF(ISNA(VLOOKUP("CD6",'素データ'!$P:$R,3,FALSE)),"",VLOOKUP("CD6",'素データ'!$P:$R,3,FALSE))</f>
      </c>
      <c r="AN10" s="342">
        <f>IF(ISNA(VLOOKUP("CD7",'素データ'!$P:$R,3,FALSE)),"",VLOOKUP("CD7",'素データ'!$P:$R,3,FALSE))</f>
      </c>
      <c r="AO10" s="342">
        <f>IF(ISNA(VLOOKUP("CD8",'素データ'!$P:$R,3,FALSE)),"",VLOOKUP("CD8",'素データ'!$P:$R,3,FALSE))</f>
      </c>
      <c r="AP10" s="342">
        <f>IF(ISNA(VLOOKUP("CD9",'素データ'!$P:$R,3,FALSE)),"",VLOOKUP("CD9",'素データ'!$P:$R,3,FALSE))</f>
      </c>
      <c r="AQ10" s="342">
        <f>IF(ISNA(VLOOKUP("CD10",'素データ'!$P:$R,3,FALSE)),"",VLOOKUP("CD10",'素データ'!$P:$R,3,FALSE))</f>
      </c>
      <c r="AR10" s="343">
        <f>SUM(AS10:AU10)</f>
        <v>4</v>
      </c>
      <c r="AS10" s="344">
        <f>COUNTIF(D10:AQ10,"○")</f>
        <v>2</v>
      </c>
      <c r="AT10" s="343">
        <f>COUNTIF(D10:AQ10,"●")</f>
        <v>2</v>
      </c>
      <c r="AU10" s="344">
        <f>COUNTIF(D10:AQ10,"△")</f>
        <v>0</v>
      </c>
      <c r="AV10" s="345">
        <f>AS10/(AS10+AT10)</f>
        <v>0.5</v>
      </c>
      <c r="AW10" s="346">
        <f>RANK(AV10,$AV$8:$AV$11,0)</f>
        <v>3</v>
      </c>
      <c r="AX10" s="176"/>
      <c r="AY10" s="178" t="str">
        <f>IF(AS10=((DCOUNTA('素データ'!$F$5:$L$36,"試合結果",criteria!B25:H26))+(DCOUNTA('素データ'!$F$5:$L$36,"試合結果",criteria!B27:H28))),"OK","NG")</f>
        <v>OK</v>
      </c>
      <c r="AZ10" s="183" t="str">
        <f>IF(AT10=((DCOUNTA('素データ'!$F$5:$L$36,"試合結果",criteria!B29:H30))+(DCOUNTA('素データ'!$F$5:$L$36,"試合結果",criteria!B31:H32))),"OK","NG")</f>
        <v>OK</v>
      </c>
      <c r="BA10" s="184" t="str">
        <f>IF(AU10=((DCOUNTA('素データ'!$F$5:$L$36,"試合結果",criteria!B33:H34))+(DCOUNTA('素データ'!$F$5:$L$36,"試合結果",criteria!B35:H36))),"OK","NG")</f>
        <v>OK</v>
      </c>
    </row>
    <row r="11" spans="2:53" ht="24.75" customHeight="1" thickBot="1">
      <c r="B11" s="339" t="str">
        <f>'素データ'!Y10</f>
        <v>D</v>
      </c>
      <c r="C11" s="340" t="str">
        <f>VLOOKUP(B11,'素データ'!$Y$7:$Z$14,2,FALSE)</f>
        <v>サンデーズＪｒ</v>
      </c>
      <c r="D11" s="347" t="str">
        <f>IF(AH8="","",VLOOKUP(AH8,'素データ'!$Z$21:$AA$23,2,FALSE))</f>
        <v>○</v>
      </c>
      <c r="E11" s="348">
        <f>IF(AI8="","",VLOOKUP(AI8,'素データ'!$Z$21:$AA$23,2,FALSE))</f>
      </c>
      <c r="F11" s="348">
        <f>IF(AJ8="","",VLOOKUP(AJ8,'素データ'!$Z$21:$AA$23,2,FALSE))</f>
      </c>
      <c r="G11" s="348">
        <f>IF(AK8="","",VLOOKUP(AK8,'素データ'!$Z$21:$AA$23,2,FALSE))</f>
      </c>
      <c r="H11" s="348">
        <f>IF(AL8="","",VLOOKUP(AL8,'素データ'!$Z$21:$AA$23,2,FALSE))</f>
      </c>
      <c r="I11" s="348">
        <f>IF(AM8="","",VLOOKUP(AM8,'素データ'!$Z$21:$AA$23,2,FALSE))</f>
      </c>
      <c r="J11" s="348">
        <f>IF(AN8="","",VLOOKUP(AN8,'素データ'!$Z$21:$AA$23,2,FALSE))</f>
      </c>
      <c r="K11" s="348">
        <f>IF(AO8="","",VLOOKUP(AO8,'素データ'!$Z$21:$AA$23,2,FALSE))</f>
      </c>
      <c r="L11" s="348">
        <f>IF(AP8="","",VLOOKUP(AP8,'素データ'!$Z$21:$AA$23,2,FALSE))</f>
      </c>
      <c r="M11" s="348">
        <f>IF(AQ8="","",VLOOKUP(AQ8,'素データ'!$Z$21:$AA$23,2,FALSE))</f>
      </c>
      <c r="N11" s="347" t="str">
        <f>IF(AH9="","",VLOOKUP(AH9,'素データ'!$Z$21:$AA$23,2,FALSE))</f>
        <v>○</v>
      </c>
      <c r="O11" s="348">
        <f>IF(AI9="","",VLOOKUP(AI9,'素データ'!$Z$21:$AA$23,2,FALSE))</f>
      </c>
      <c r="P11" s="348">
        <f>IF(AJ9="","",VLOOKUP(AJ9,'素データ'!$Z$21:$AA$23,2,FALSE))</f>
      </c>
      <c r="Q11" s="348">
        <f>IF(AK9="","",VLOOKUP(AK9,'素データ'!$Z$21:$AA$23,2,FALSE))</f>
      </c>
      <c r="R11" s="348">
        <f>IF(AL9="","",VLOOKUP(AL9,'素データ'!$Z$21:$AA$23,2,FALSE))</f>
      </c>
      <c r="S11" s="348">
        <f>IF(AM9="","",VLOOKUP(AM9,'素データ'!$Z$21:$AA$23,2,FALSE))</f>
      </c>
      <c r="T11" s="348">
        <f>IF(AN9="","",VLOOKUP(AN9,'素データ'!$Z$21:$AA$23,2,FALSE))</f>
      </c>
      <c r="U11" s="348">
        <f>IF(AO9="","",VLOOKUP(AO9,'素データ'!$Z$21:$AA$23,2,FALSE))</f>
      </c>
      <c r="V11" s="348">
        <f>IF(AP9="","",VLOOKUP(AP9,'素データ'!$Z$21:$AA$23,2,FALSE))</f>
      </c>
      <c r="W11" s="348">
        <f>IF(AQ9="","",VLOOKUP(AQ9,'素データ'!$Z$21:$AA$23,2,FALSE))</f>
      </c>
      <c r="X11" s="347" t="str">
        <f>IF(AH10="","",VLOOKUP(AH10,'素データ'!$Z$21:$AA$23,2,FALSE))</f>
        <v>○</v>
      </c>
      <c r="Y11" s="348" t="str">
        <f>IF(AI10="","",VLOOKUP(AI10,'素データ'!$Z$21:$AA$23,2,FALSE))</f>
        <v>●</v>
      </c>
      <c r="Z11" s="348">
        <f>IF(AJ10="","",VLOOKUP(AJ10,'素データ'!$Z$21:$AA$23,2,FALSE))</f>
      </c>
      <c r="AA11" s="348">
        <f>IF(AK10="","",VLOOKUP(AK10,'素データ'!$Z$21:$AA$23,2,FALSE))</f>
      </c>
      <c r="AB11" s="348">
        <f>IF(AL10="","",VLOOKUP(AL10,'素データ'!$Z$21:$AA$23,2,FALSE))</f>
      </c>
      <c r="AC11" s="348">
        <f>IF(AM10="","",VLOOKUP(AM10,'素データ'!$Z$21:$AA$23,2,FALSE))</f>
      </c>
      <c r="AD11" s="348">
        <f>IF(AN10="","",VLOOKUP(AN10,'素データ'!$Z$21:$AA$23,2,FALSE))</f>
      </c>
      <c r="AE11" s="348">
        <f>IF(AO10="","",VLOOKUP(AO10,'素データ'!$Z$21:$AA$23,2,FALSE))</f>
      </c>
      <c r="AF11" s="348">
        <f>IF(AP10="","",VLOOKUP(AP10,'素データ'!$Z$21:$AA$23,2,FALSE))</f>
      </c>
      <c r="AG11" s="348">
        <f>IF(AQ10="","",VLOOKUP(AQ10,'素データ'!$Z$21:$AA$23,2,FALSE))</f>
      </c>
      <c r="AH11" s="454" t="s">
        <v>448</v>
      </c>
      <c r="AI11" s="455"/>
      <c r="AJ11" s="455"/>
      <c r="AK11" s="455"/>
      <c r="AL11" s="455"/>
      <c r="AM11" s="455"/>
      <c r="AN11" s="455"/>
      <c r="AO11" s="455"/>
      <c r="AP11" s="455"/>
      <c r="AQ11" s="456"/>
      <c r="AR11" s="343">
        <f>SUM(AS11:AU11)</f>
        <v>4</v>
      </c>
      <c r="AS11" s="344">
        <f>COUNTIF(D11:AG11,"○")</f>
        <v>3</v>
      </c>
      <c r="AT11" s="343">
        <f>COUNTIF(D11:AG11,"●")</f>
        <v>1</v>
      </c>
      <c r="AU11" s="344">
        <f>COUNTIF(D11:AQ11,"△")</f>
        <v>0</v>
      </c>
      <c r="AV11" s="345">
        <f>AS11/(AS11+AT11)</f>
        <v>0.75</v>
      </c>
      <c r="AW11" s="346">
        <f>RANK(AV11,$AV$8:$AV$11,0)</f>
        <v>1</v>
      </c>
      <c r="AX11" s="176"/>
      <c r="AY11" s="179" t="str">
        <f>IF(AS11=((DCOUNTA('素データ'!$F$5:$L$36,"試合結果",criteria!B37:H38))+(DCOUNTA('素データ'!$F$5:$L$36,"試合結果",criteria!B39:H40))),"OK","NG")</f>
        <v>OK</v>
      </c>
      <c r="AZ11" s="185" t="str">
        <f>IF(AT11=((DCOUNTA('素データ'!$F$5:$L$36,"試合結果",criteria!B41:H42))+(DCOUNTA('素データ'!$F$5:$L$36,"試合結果",criteria!B43:H44))),"OK","NG")</f>
        <v>OK</v>
      </c>
      <c r="BA11" s="186" t="str">
        <f>IF(AU11=((DCOUNTA('素データ'!$F$5:$L$36,"試合結果",criteria!B45:H46))+(DCOUNTA('素データ'!$F$5:$L$36,"試合結果",criteria!B47:H48))),"OK","NG")</f>
        <v>OK</v>
      </c>
    </row>
  </sheetData>
  <sheetProtection/>
  <mergeCells count="25">
    <mergeCell ref="AW6:AW7"/>
    <mergeCell ref="AY6:BA6"/>
    <mergeCell ref="AY4:BA4"/>
    <mergeCell ref="AV6:AV7"/>
    <mergeCell ref="B4:AQ4"/>
    <mergeCell ref="R2:W2"/>
    <mergeCell ref="K2:Q2"/>
    <mergeCell ref="Y2:AD2"/>
    <mergeCell ref="AU6:AU7"/>
    <mergeCell ref="X10:AG10"/>
    <mergeCell ref="X7:AG7"/>
    <mergeCell ref="AH7:AQ7"/>
    <mergeCell ref="AR6:AR7"/>
    <mergeCell ref="AS6:AS7"/>
    <mergeCell ref="AT6:AT7"/>
    <mergeCell ref="D8:M8"/>
    <mergeCell ref="N9:W9"/>
    <mergeCell ref="AH11:AQ11"/>
    <mergeCell ref="B6:C7"/>
    <mergeCell ref="D6:M6"/>
    <mergeCell ref="N6:W6"/>
    <mergeCell ref="X6:AG6"/>
    <mergeCell ref="AH6:AQ6"/>
    <mergeCell ref="D7:M7"/>
    <mergeCell ref="N7:W7"/>
  </mergeCells>
  <printOptions/>
  <pageMargins left="0.75" right="0.75" top="1" bottom="1" header="0.512" footer="0.512"/>
  <pageSetup horizontalDpi="600" verticalDpi="600" orientation="portrait" paperSize="9" r:id="rId2"/>
  <ignoredErrors>
    <ignoredError sqref="AV8:AW11" evalError="1"/>
  </ignoredErrors>
  <drawing r:id="rId1"/>
</worksheet>
</file>

<file path=xl/worksheets/sheet5.xml><?xml version="1.0" encoding="utf-8"?>
<worksheet xmlns="http://schemas.openxmlformats.org/spreadsheetml/2006/main" xmlns:r="http://schemas.openxmlformats.org/officeDocument/2006/relationships">
  <sheetPr>
    <tabColor indexed="11"/>
  </sheetPr>
  <dimension ref="A1:AX65"/>
  <sheetViews>
    <sheetView showGridLines="0" zoomScale="77" zoomScaleNormal="77" zoomScalePageLayoutView="0" workbookViewId="0" topLeftCell="A2">
      <selection activeCell="AE8" sqref="AE8:AE17"/>
    </sheetView>
  </sheetViews>
  <sheetFormatPr defaultColWidth="3.59765625" defaultRowHeight="24.75" customHeight="1"/>
  <cols>
    <col min="1" max="1" width="14.59765625" style="2" customWidth="1"/>
    <col min="2" max="2" width="0.6953125" style="2" customWidth="1"/>
    <col min="3" max="3" width="3" style="3" customWidth="1"/>
    <col min="4" max="4" width="18.09765625" style="2" customWidth="1"/>
    <col min="5" max="5" width="3.59765625" style="2" customWidth="1"/>
    <col min="6" max="6" width="3.69921875" style="2" customWidth="1"/>
    <col min="7" max="7" width="2.59765625" style="2" customWidth="1"/>
    <col min="8" max="8" width="3.69921875" style="2" customWidth="1"/>
    <col min="9" max="9" width="3.59765625" style="2" customWidth="1"/>
    <col min="10" max="10" width="3.69921875" style="2" customWidth="1"/>
    <col min="11" max="11" width="2.59765625" style="2" customWidth="1"/>
    <col min="12" max="12" width="3.69921875" style="2" customWidth="1"/>
    <col min="13" max="13" width="3.59765625" style="2" customWidth="1"/>
    <col min="14" max="14" width="3.69921875" style="2" customWidth="1"/>
    <col min="15" max="15" width="2.59765625" style="2" customWidth="1"/>
    <col min="16" max="16" width="3.69921875" style="2" customWidth="1"/>
    <col min="17" max="17" width="3.59765625" style="2" customWidth="1"/>
    <col min="18" max="18" width="3.69921875" style="2" customWidth="1"/>
    <col min="19" max="19" width="2.59765625" style="2" customWidth="1"/>
    <col min="20" max="20" width="3.69921875" style="2" customWidth="1"/>
    <col min="21" max="24" width="6.69921875" style="2" customWidth="1"/>
    <col min="25" max="25" width="9.796875" style="2" customWidth="1"/>
    <col min="26" max="26" width="6.69921875" style="2" customWidth="1"/>
    <col min="27" max="27" width="7.3984375" style="2" customWidth="1"/>
    <col min="28" max="28" width="6.69921875" style="2" customWidth="1"/>
    <col min="29" max="30" width="2.59765625" style="2" customWidth="1"/>
    <col min="31" max="33" width="4.69921875" style="2" customWidth="1"/>
    <col min="34" max="36" width="2.59765625" style="2" customWidth="1"/>
    <col min="37" max="37" width="7.3984375" style="2" customWidth="1"/>
    <col min="38" max="40" width="6.59765625" style="2" customWidth="1"/>
    <col min="41" max="41" width="8.09765625" style="2" customWidth="1"/>
    <col min="42" max="46" width="6.59765625" style="2" customWidth="1"/>
    <col min="47" max="47" width="8.69921875" style="2" customWidth="1"/>
    <col min="48" max="48" width="8.19921875" style="2" customWidth="1"/>
    <col min="49" max="49" width="8.3984375" style="2" customWidth="1"/>
    <col min="50" max="16384" width="3.59765625" style="2" customWidth="1"/>
  </cols>
  <sheetData>
    <row r="1" spans="16:24" ht="9" customHeight="1">
      <c r="P1" s="349"/>
      <c r="Q1" s="349"/>
      <c r="R1" s="349"/>
      <c r="S1" s="349"/>
      <c r="T1" s="349"/>
      <c r="U1" s="349"/>
      <c r="V1" s="349"/>
      <c r="W1" s="349"/>
      <c r="X1" s="349"/>
    </row>
    <row r="2" spans="16:38" ht="24.75" customHeight="1">
      <c r="P2" s="473" t="s">
        <v>248</v>
      </c>
      <c r="Q2" s="473"/>
      <c r="R2" s="473"/>
      <c r="S2" s="499">
        <f>IF(VLOOKUP("1",'素データ'!V:W,2,FALSE)="","",VLOOKUP("1",'素データ'!V:W,2,FALSE))</f>
        <v>45410</v>
      </c>
      <c r="T2" s="500"/>
      <c r="U2" s="501"/>
      <c r="V2" s="507" t="str">
        <f>IF(OR(S2="",S2="完了"),"","分まで表示")</f>
        <v>分まで表示</v>
      </c>
      <c r="W2" s="508"/>
      <c r="X2" s="508"/>
      <c r="AC2" s="106"/>
      <c r="AD2" s="106"/>
      <c r="AE2" s="106"/>
      <c r="AF2" s="106"/>
      <c r="AG2" s="491"/>
      <c r="AH2" s="453"/>
      <c r="AI2" s="453"/>
      <c r="AJ2" s="453"/>
      <c r="AK2" s="453"/>
      <c r="AL2" s="453"/>
    </row>
    <row r="3" ht="13.5" customHeight="1"/>
    <row r="4" spans="1:29" ht="18.75" customHeight="1">
      <c r="A4" s="38"/>
      <c r="C4" s="471" t="s">
        <v>442</v>
      </c>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38"/>
    </row>
    <row r="5" spans="1:29" ht="11.25" customHeight="1" thickBot="1">
      <c r="A5" s="14"/>
      <c r="AC5" s="14"/>
    </row>
    <row r="6" spans="1:34" ht="14.25" customHeight="1">
      <c r="A6" s="477" t="s">
        <v>251</v>
      </c>
      <c r="B6" s="137"/>
      <c r="C6" s="457"/>
      <c r="D6" s="458"/>
      <c r="E6" s="461" t="str">
        <f>C8</f>
        <v>A</v>
      </c>
      <c r="F6" s="462"/>
      <c r="G6" s="462"/>
      <c r="H6" s="463"/>
      <c r="I6" s="462" t="str">
        <f>C18</f>
        <v>B</v>
      </c>
      <c r="J6" s="462"/>
      <c r="K6" s="462"/>
      <c r="L6" s="462"/>
      <c r="M6" s="461" t="str">
        <f>C28</f>
        <v>C</v>
      </c>
      <c r="N6" s="462"/>
      <c r="O6" s="462"/>
      <c r="P6" s="463"/>
      <c r="Q6" s="462" t="str">
        <f>C38</f>
        <v>D</v>
      </c>
      <c r="R6" s="462"/>
      <c r="S6" s="462"/>
      <c r="T6" s="462"/>
      <c r="U6" s="505" t="s">
        <v>1</v>
      </c>
      <c r="V6" s="485" t="s">
        <v>2</v>
      </c>
      <c r="W6" s="485" t="s">
        <v>3</v>
      </c>
      <c r="X6" s="485" t="s">
        <v>4</v>
      </c>
      <c r="Y6" s="485" t="s">
        <v>5</v>
      </c>
      <c r="Z6" s="485" t="s">
        <v>129</v>
      </c>
      <c r="AA6" s="485" t="s">
        <v>130</v>
      </c>
      <c r="AB6" s="483" t="s">
        <v>52</v>
      </c>
      <c r="AC6" s="297"/>
      <c r="AD6" s="3"/>
      <c r="AE6" s="494" t="s">
        <v>65</v>
      </c>
      <c r="AF6" s="495"/>
      <c r="AG6" s="496"/>
      <c r="AH6" s="3"/>
    </row>
    <row r="7" spans="1:34" ht="15.75" customHeight="1" thickBot="1">
      <c r="A7" s="478"/>
      <c r="B7" s="137"/>
      <c r="C7" s="459"/>
      <c r="D7" s="460"/>
      <c r="E7" s="487" t="str">
        <f>VLOOKUP(E6,$C$8:$D$47,2,FALSE)</f>
        <v>ディアス</v>
      </c>
      <c r="F7" s="488"/>
      <c r="G7" s="488"/>
      <c r="H7" s="489"/>
      <c r="I7" s="464" t="str">
        <f>VLOOKUP(I6,$C$8:$D$47,2,FALSE)</f>
        <v>ベアーズ</v>
      </c>
      <c r="J7" s="465"/>
      <c r="K7" s="465"/>
      <c r="L7" s="466"/>
      <c r="M7" s="502" t="str">
        <f>VLOOKUP(M6,$C$8:$D$47,2,FALSE)</f>
        <v>エンジェルス</v>
      </c>
      <c r="N7" s="503"/>
      <c r="O7" s="503"/>
      <c r="P7" s="504"/>
      <c r="Q7" s="464" t="str">
        <f>VLOOKUP(Q6,$C$8:$D$47,2,FALSE)</f>
        <v>サンデーズＪｒ</v>
      </c>
      <c r="R7" s="465"/>
      <c r="S7" s="465"/>
      <c r="T7" s="466"/>
      <c r="U7" s="506"/>
      <c r="V7" s="486"/>
      <c r="W7" s="486"/>
      <c r="X7" s="486"/>
      <c r="Y7" s="486"/>
      <c r="Z7" s="486"/>
      <c r="AA7" s="486"/>
      <c r="AB7" s="484"/>
      <c r="AC7" s="297"/>
      <c r="AD7" s="3"/>
      <c r="AE7" s="4" t="s">
        <v>2</v>
      </c>
      <c r="AF7" s="5" t="s">
        <v>3</v>
      </c>
      <c r="AG7" s="6" t="s">
        <v>4</v>
      </c>
      <c r="AH7" s="3"/>
    </row>
    <row r="8" spans="1:33" ht="12.75" customHeight="1">
      <c r="A8" s="518">
        <f>Y8+(V8-W8)/100000+0.000008</f>
        <v>0.750028</v>
      </c>
      <c r="B8" s="349"/>
      <c r="C8" s="522" t="str">
        <f>'素データ'!Y7</f>
        <v>A</v>
      </c>
      <c r="D8" s="525" t="str">
        <f>VLOOKUP(C8,'素データ'!$Y$7:$Z$14,2,FALSE)</f>
        <v>ディアス</v>
      </c>
      <c r="E8" s="509" t="s">
        <v>448</v>
      </c>
      <c r="F8" s="510"/>
      <c r="G8" s="510"/>
      <c r="H8" s="511"/>
      <c r="I8" s="351" t="str">
        <f>IF(ISNA(VLOOKUP("AB1",'素データ'!$P:$R,3,FALSE)),"",VLOOKUP("AB1",'素データ'!$P:$R,3,FALSE))</f>
        <v>○</v>
      </c>
      <c r="J8" s="351">
        <f>IF(ISNA(VLOOKUP("AB1",'素データ'!$P:$T,4,FALSE)),"",VLOOKUP("AB1",'素データ'!$P:$T,4,FALSE))</f>
        <v>7</v>
      </c>
      <c r="K8" s="351" t="str">
        <f aca="true" t="shared" si="0" ref="K8:K13">IF(I8="","","－")</f>
        <v>－</v>
      </c>
      <c r="L8" s="351">
        <f>IF(ISNA(VLOOKUP("AB1",'素データ'!$P:$T,5,FALSE)),"",VLOOKUP("AB1",'素データ'!$P:$T,5,FALSE))</f>
        <v>1</v>
      </c>
      <c r="M8" s="352" t="str">
        <f>IF(ISNA(VLOOKUP("AC1",'素データ'!$P:$R,3,FALSE)),"",VLOOKUP("AC1",'素データ'!$P:$R,3,FALSE))</f>
        <v>○</v>
      </c>
      <c r="N8" s="351">
        <f>IF(ISNA(VLOOKUP("AC1",'素データ'!$P:$T,4,FALSE)),"",VLOOKUP("AC1",'素データ'!$P:$T,4,FALSE))</f>
        <v>12</v>
      </c>
      <c r="O8" s="351" t="str">
        <f aca="true" t="shared" si="1" ref="O8:O13">IF(M8="","","－")</f>
        <v>－</v>
      </c>
      <c r="P8" s="353">
        <f>IF(ISNA(VLOOKUP("AC1",'素データ'!$P:$T,5,FALSE)),"",VLOOKUP("AC1",'素データ'!$P:$T,5,FALSE))</f>
        <v>3</v>
      </c>
      <c r="Q8" s="351" t="str">
        <f>IF(ISNA(VLOOKUP("AD1",'素データ'!$P:$R,3,FALSE)),"",VLOOKUP("AD1",'素データ'!$P:$R,3,FALSE))</f>
        <v>●</v>
      </c>
      <c r="R8" s="351">
        <f>IF(ISNA(VLOOKUP("AD1",'素データ'!$P:$T,4,FALSE)),"",VLOOKUP("AD1",'素データ'!$P:$T,4,FALSE))</f>
        <v>7</v>
      </c>
      <c r="S8" s="351" t="str">
        <f aca="true" t="shared" si="2" ref="S8:S23">IF(Q8="","","－")</f>
        <v>－</v>
      </c>
      <c r="T8" s="351">
        <f>IF(ISNA(VLOOKUP("AD1",'素データ'!$P:$T,5,FALSE)),"",VLOOKUP("AD1",'素データ'!$P:$T,5,FALSE))</f>
        <v>10</v>
      </c>
      <c r="U8" s="492">
        <f>SUM(V8:X8)</f>
        <v>4</v>
      </c>
      <c r="V8" s="493">
        <f>COUNTIF(E8:T17,"○")</f>
        <v>3</v>
      </c>
      <c r="W8" s="493">
        <f>COUNTIF(E8:T17,"●")</f>
        <v>1</v>
      </c>
      <c r="X8" s="493">
        <f>COUNTIF(E8:T17,"△")</f>
        <v>0</v>
      </c>
      <c r="Y8" s="532">
        <f>ROUND(V8/(V8+W8),3)</f>
        <v>0.75</v>
      </c>
      <c r="Z8" s="529">
        <f>SUM(J8:J17)+SUM(N8:N17)+SUM(R8:R17)</f>
        <v>38</v>
      </c>
      <c r="AA8" s="529">
        <f>SUM(L8:L17)+SUM(P8:P17)+SUM(T8:T17)</f>
        <v>18</v>
      </c>
      <c r="AB8" s="533">
        <f>RANK(Y8,$Y$8:$Y$43,0)</f>
        <v>1</v>
      </c>
      <c r="AC8" s="354"/>
      <c r="AD8" s="176"/>
      <c r="AE8" s="530" t="str">
        <f>IF(V8=((DCOUNTA('素データ'!$F$5:$L$36,"試合結果",criteria!B1:H2))+(DCOUNTA('素データ'!$F$5:$L$36,"試合結果",criteria!B3:H4))),"OK","NG")</f>
        <v>OK</v>
      </c>
      <c r="AF8" s="531" t="str">
        <f>IF(W8=((DCOUNTA('素データ'!$F$5:$L$36,"試合結果",criteria!B5:H6))+(DCOUNTA('素データ'!$F$5:$L$36,"試合結果",criteria!B7:H8))),"OK","NG")</f>
        <v>OK</v>
      </c>
      <c r="AG8" s="479" t="str">
        <f>IF(X8=((DCOUNTA('素データ'!$F$5:$L$36,"試合結果",criteria!B9:H10))+(DCOUNTA('素データ'!$F$5:$L$36,"試合結果",criteria!B11:H12))),"OK","NG")</f>
        <v>OK</v>
      </c>
    </row>
    <row r="9" spans="1:33" ht="12.75" customHeight="1">
      <c r="A9" s="519"/>
      <c r="B9" s="349"/>
      <c r="C9" s="523"/>
      <c r="D9" s="526"/>
      <c r="E9" s="512"/>
      <c r="F9" s="513"/>
      <c r="G9" s="513"/>
      <c r="H9" s="514"/>
      <c r="I9" s="355" t="str">
        <f>IF(ISNA(VLOOKUP("AB2",'素データ'!$P:$R,3,FALSE)),"",VLOOKUP("AB2",'素データ'!$P:$R,3,FALSE))</f>
        <v>○</v>
      </c>
      <c r="J9" s="355">
        <f>IF(ISNA(VLOOKUP("AB2",'素データ'!$P:$T,4,FALSE)),"",VLOOKUP("AB2",'素データ'!$P:$T,4,FALSE))</f>
        <v>12</v>
      </c>
      <c r="K9" s="355" t="str">
        <f t="shared" si="0"/>
        <v>－</v>
      </c>
      <c r="L9" s="355">
        <f>IF(ISNA(VLOOKUP("AB2",'素データ'!$P:$T,5,FALSE)),"",VLOOKUP("AB2",'素データ'!$P:$T,5,FALSE))</f>
        <v>4</v>
      </c>
      <c r="M9" s="356">
        <f>IF(ISNA(VLOOKUP("AC2",'素データ'!$P:$R,3,FALSE)),"",VLOOKUP("AC2",'素データ'!$P:$R,3,FALSE))</f>
      </c>
      <c r="N9" s="355">
        <f>IF(ISNA(VLOOKUP("AC2",'素データ'!$P:$T,4,FALSE)),"",VLOOKUP("AC2",'素データ'!$P:$T,4,FALSE))</f>
      </c>
      <c r="O9" s="355">
        <f t="shared" si="1"/>
      </c>
      <c r="P9" s="357">
        <f>IF(ISNA(VLOOKUP("AC2",'素データ'!$P:$T,5,FALSE)),"",VLOOKUP("AC2",'素データ'!$P:$T,5,FALSE))</f>
      </c>
      <c r="Q9" s="355">
        <f>IF(ISNA(VLOOKUP("AD2",'素データ'!$P:$R,3,FALSE)),"",VLOOKUP("AD2",'素データ'!$P:$R,3,FALSE))</f>
      </c>
      <c r="R9" s="355">
        <f>IF(ISNA(VLOOKUP("AD2",'素データ'!$P:$T,4,FALSE)),"",VLOOKUP("AD2",'素データ'!$P:$T,4,FALSE))</f>
      </c>
      <c r="S9" s="355">
        <f t="shared" si="2"/>
      </c>
      <c r="T9" s="355">
        <f>IF(ISNA(VLOOKUP("AD2",'素データ'!$P:$T,5,FALSE)),"",VLOOKUP("AD2",'素データ'!$P:$T,5,FALSE))</f>
      </c>
      <c r="U9" s="492"/>
      <c r="V9" s="493"/>
      <c r="W9" s="493"/>
      <c r="X9" s="493"/>
      <c r="Y9" s="532"/>
      <c r="Z9" s="529"/>
      <c r="AA9" s="529"/>
      <c r="AB9" s="533"/>
      <c r="AC9" s="354"/>
      <c r="AD9" s="176"/>
      <c r="AE9" s="530"/>
      <c r="AF9" s="531"/>
      <c r="AG9" s="479"/>
    </row>
    <row r="10" spans="1:33" ht="12.75" customHeight="1">
      <c r="A10" s="519"/>
      <c r="B10" s="349"/>
      <c r="C10" s="523"/>
      <c r="D10" s="526"/>
      <c r="E10" s="512"/>
      <c r="F10" s="513"/>
      <c r="G10" s="513"/>
      <c r="H10" s="514"/>
      <c r="I10" s="355">
        <f>IF(ISNA(VLOOKUP("AB3",'素データ'!$P:$R,3,FALSE)),"",VLOOKUP("AB3",'素データ'!$P:$R,3,FALSE))</f>
      </c>
      <c r="J10" s="355">
        <f>IF(ISNA(VLOOKUP("AB3",'素データ'!$P:$T,4,FALSE)),"",VLOOKUP("AB3",'素データ'!$P:$T,4,FALSE))</f>
      </c>
      <c r="K10" s="355">
        <f t="shared" si="0"/>
      </c>
      <c r="L10" s="355">
        <f>IF(ISNA(VLOOKUP("AB3",'素データ'!$P:$T,5,FALSE)),"",VLOOKUP("AB3",'素データ'!$P:$T,5,FALSE))</f>
      </c>
      <c r="M10" s="356">
        <f>IF(ISNA(VLOOKUP("AC3",'素データ'!$P:$R,3,FALSE)),"",VLOOKUP("AC3",'素データ'!$P:$R,3,FALSE))</f>
      </c>
      <c r="N10" s="355">
        <f>IF(ISNA(VLOOKUP("AC3",'素データ'!$P:$T,4,FALSE)),"",VLOOKUP("AC3",'素データ'!$P:$T,4,FALSE))</f>
      </c>
      <c r="O10" s="355">
        <f t="shared" si="1"/>
      </c>
      <c r="P10" s="357">
        <f>IF(ISNA(VLOOKUP("AC3",'素データ'!$P:$T,5,FALSE)),"",VLOOKUP("AC3",'素データ'!$P:$T,5,FALSE))</f>
      </c>
      <c r="Q10" s="355">
        <f>IF(ISNA(VLOOKUP("AD3",'素データ'!$P:$R,3,FALSE)),"",VLOOKUP("AD3",'素データ'!$P:$R,3,FALSE))</f>
      </c>
      <c r="R10" s="355">
        <f>IF(ISNA(VLOOKUP("AD3",'素データ'!$P:$T,4,FALSE)),"",VLOOKUP("AD3",'素データ'!$P:$T,4,FALSE))</f>
      </c>
      <c r="S10" s="355">
        <f t="shared" si="2"/>
      </c>
      <c r="T10" s="355">
        <f>IF(ISNA(VLOOKUP("AD3",'素データ'!$P:$T,5,FALSE)),"",VLOOKUP("AD3",'素データ'!$P:$T,5,FALSE))</f>
      </c>
      <c r="U10" s="492"/>
      <c r="V10" s="493"/>
      <c r="W10" s="493"/>
      <c r="X10" s="493"/>
      <c r="Y10" s="532"/>
      <c r="Z10" s="529"/>
      <c r="AA10" s="529"/>
      <c r="AB10" s="533"/>
      <c r="AC10" s="354"/>
      <c r="AD10" s="176"/>
      <c r="AE10" s="530"/>
      <c r="AF10" s="531"/>
      <c r="AG10" s="479"/>
    </row>
    <row r="11" spans="1:33" ht="12.75" customHeight="1">
      <c r="A11" s="519"/>
      <c r="B11" s="349"/>
      <c r="C11" s="523"/>
      <c r="D11" s="526"/>
      <c r="E11" s="512"/>
      <c r="F11" s="513"/>
      <c r="G11" s="513"/>
      <c r="H11" s="514"/>
      <c r="I11" s="355">
        <f>IF(ISNA(VLOOKUP("AB4",'素データ'!$P:$R,3,FALSE)),"",VLOOKUP("AB4",'素データ'!$P:$R,3,FALSE))</f>
      </c>
      <c r="J11" s="355">
        <f>IF(ISNA(VLOOKUP("AB4",'素データ'!$P:$T,4,FALSE)),"",VLOOKUP("AB4",'素データ'!$P:$T,4,FALSE))</f>
      </c>
      <c r="K11" s="355">
        <f t="shared" si="0"/>
      </c>
      <c r="L11" s="355">
        <f>IF(ISNA(VLOOKUP("AB4",'素データ'!$P:$T,5,FALSE)),"",VLOOKUP("AB4",'素データ'!$P:$T,5,FALSE))</f>
      </c>
      <c r="M11" s="356">
        <f>IF(ISNA(VLOOKUP("AC4",'素データ'!$P:$R,3,FALSE)),"",VLOOKUP("AC4",'素データ'!$P:$R,3,FALSE))</f>
      </c>
      <c r="N11" s="355">
        <f>IF(ISNA(VLOOKUP("AC4",'素データ'!$P:$T,4,FALSE)),"",VLOOKUP("AC4",'素データ'!$P:$T,4,FALSE))</f>
      </c>
      <c r="O11" s="355">
        <f t="shared" si="1"/>
      </c>
      <c r="P11" s="357">
        <f>IF(ISNA(VLOOKUP("AC4",'素データ'!$P:$T,5,FALSE)),"",VLOOKUP("AC4",'素データ'!$P:$T,5,FALSE))</f>
      </c>
      <c r="Q11" s="355">
        <f>IF(ISNA(VLOOKUP("AD4",'素データ'!$P:$R,3,FALSE)),"",VLOOKUP("AD4",'素データ'!$P:$R,3,FALSE))</f>
      </c>
      <c r="R11" s="355">
        <f>IF(ISNA(VLOOKUP("AD4",'素データ'!$P:$T,4,FALSE)),"",VLOOKUP("AD4",'素データ'!$P:$T,4,FALSE))</f>
      </c>
      <c r="S11" s="355">
        <f t="shared" si="2"/>
      </c>
      <c r="T11" s="355">
        <f>IF(ISNA(VLOOKUP("AD4",'素データ'!$P:$T,5,FALSE)),"",VLOOKUP("AD4",'素データ'!$P:$T,5,FALSE))</f>
      </c>
      <c r="U11" s="492"/>
      <c r="V11" s="493"/>
      <c r="W11" s="493"/>
      <c r="X11" s="493"/>
      <c r="Y11" s="532"/>
      <c r="Z11" s="529"/>
      <c r="AA11" s="529"/>
      <c r="AB11" s="533"/>
      <c r="AC11" s="354"/>
      <c r="AD11" s="176"/>
      <c r="AE11" s="530"/>
      <c r="AF11" s="531"/>
      <c r="AG11" s="479"/>
    </row>
    <row r="12" spans="1:33" ht="12.75" customHeight="1">
      <c r="A12" s="519"/>
      <c r="B12" s="349"/>
      <c r="C12" s="523"/>
      <c r="D12" s="526"/>
      <c r="E12" s="512"/>
      <c r="F12" s="513"/>
      <c r="G12" s="513"/>
      <c r="H12" s="514"/>
      <c r="I12" s="355">
        <f>IF(ISNA(VLOOKUP("AB5",'素データ'!$P:$R,3,FALSE)),"",VLOOKUP("AB5",'素データ'!$P:$R,3,FALSE))</f>
      </c>
      <c r="J12" s="355">
        <f>IF(ISNA(VLOOKUP("AB5",'素データ'!$P:$T,4,FALSE)),"",VLOOKUP("AB5",'素データ'!$P:$T,4,FALSE))</f>
      </c>
      <c r="K12" s="355">
        <f t="shared" si="0"/>
      </c>
      <c r="L12" s="355">
        <f>IF(ISNA(VLOOKUP("AB5",'素データ'!$P:$T,5,FALSE)),"",VLOOKUP("AB5",'素データ'!$P:$T,5,FALSE))</f>
      </c>
      <c r="M12" s="356">
        <f>IF(ISNA(VLOOKUP("AC5",'素データ'!$P:$R,3,FALSE)),"",VLOOKUP("AC5",'素データ'!$P:$R,3,FALSE))</f>
      </c>
      <c r="N12" s="355">
        <f>IF(ISNA(VLOOKUP("AC5",'素データ'!$P:$T,4,FALSE)),"",VLOOKUP("AC5",'素データ'!$P:$T,4,FALSE))</f>
      </c>
      <c r="O12" s="355">
        <f t="shared" si="1"/>
      </c>
      <c r="P12" s="357">
        <f>IF(ISNA(VLOOKUP("AC5",'素データ'!$P:$T,5,FALSE)),"",VLOOKUP("AC5",'素データ'!$P:$T,5,FALSE))</f>
      </c>
      <c r="Q12" s="355">
        <f>IF(ISNA(VLOOKUP("AD5",'素データ'!$P:$R,3,FALSE)),"",VLOOKUP("AD5",'素データ'!$P:$R,3,FALSE))</f>
      </c>
      <c r="R12" s="355">
        <f>IF(ISNA(VLOOKUP("AD5",'素データ'!$P:$T,4,FALSE)),"",VLOOKUP("AD5",'素データ'!$P:$T,4,FALSE))</f>
      </c>
      <c r="S12" s="355">
        <f t="shared" si="2"/>
      </c>
      <c r="T12" s="355">
        <f>IF(ISNA(VLOOKUP("AD5",'素データ'!$P:$T,5,FALSE)),"",VLOOKUP("AD5",'素データ'!$P:$T,5,FALSE))</f>
      </c>
      <c r="U12" s="492"/>
      <c r="V12" s="493"/>
      <c r="W12" s="493"/>
      <c r="X12" s="493"/>
      <c r="Y12" s="532"/>
      <c r="Z12" s="529"/>
      <c r="AA12" s="529"/>
      <c r="AB12" s="533"/>
      <c r="AC12" s="354"/>
      <c r="AD12" s="176"/>
      <c r="AE12" s="530"/>
      <c r="AF12" s="531"/>
      <c r="AG12" s="479"/>
    </row>
    <row r="13" spans="1:33" ht="12.75" customHeight="1">
      <c r="A13" s="519"/>
      <c r="B13" s="349"/>
      <c r="C13" s="523"/>
      <c r="D13" s="526"/>
      <c r="E13" s="512"/>
      <c r="F13" s="513"/>
      <c r="G13" s="513"/>
      <c r="H13" s="514"/>
      <c r="I13" s="355">
        <f>IF(ISNA(VLOOKUP("AB6",'素データ'!$P:$R,3,FALSE)),"",VLOOKUP("AB6",'素データ'!$P:$R,3,FALSE))</f>
      </c>
      <c r="J13" s="355">
        <f>IF(ISNA(VLOOKUP("AB6",'素データ'!$P:$T,4,FALSE)),"",VLOOKUP("AB6",'素データ'!$P:$T,4,FALSE))</f>
      </c>
      <c r="K13" s="355">
        <f t="shared" si="0"/>
      </c>
      <c r="L13" s="355">
        <f>IF(ISNA(VLOOKUP("AB6",'素データ'!$P:$T,5,FALSE)),"",VLOOKUP("AB6",'素データ'!$P:$T,5,FALSE))</f>
      </c>
      <c r="M13" s="356">
        <f>IF(ISNA(VLOOKUP("AC6",'素データ'!$P:$R,3,FALSE)),"",VLOOKUP("AC6",'素データ'!$P:$R,3,FALSE))</f>
      </c>
      <c r="N13" s="355">
        <f>IF(ISNA(VLOOKUP("AC6",'素データ'!$P:$T,4,FALSE)),"",VLOOKUP("AC6",'素データ'!$P:$T,4,FALSE))</f>
      </c>
      <c r="O13" s="355">
        <f t="shared" si="1"/>
      </c>
      <c r="P13" s="357">
        <f>IF(ISNA(VLOOKUP("AC6",'素データ'!$P:$T,5,FALSE)),"",VLOOKUP("AC6",'素データ'!$P:$T,5,FALSE))</f>
      </c>
      <c r="Q13" s="355">
        <f>IF(ISNA(VLOOKUP("AD6",'素データ'!$P:$R,3,FALSE)),"",VLOOKUP("AD6",'素データ'!$P:$R,3,FALSE))</f>
      </c>
      <c r="R13" s="355">
        <f>IF(ISNA(VLOOKUP("AD6",'素データ'!$P:$T,4,FALSE)),"",VLOOKUP("AD6",'素データ'!$P:$T,4,FALSE))</f>
      </c>
      <c r="S13" s="355">
        <f t="shared" si="2"/>
      </c>
      <c r="T13" s="355">
        <f>IF(ISNA(VLOOKUP("AD6",'素データ'!$P:$T,5,FALSE)),"",VLOOKUP("AD6",'素データ'!$P:$T,5,FALSE))</f>
      </c>
      <c r="U13" s="492"/>
      <c r="V13" s="493"/>
      <c r="W13" s="493"/>
      <c r="X13" s="493"/>
      <c r="Y13" s="532"/>
      <c r="Z13" s="529"/>
      <c r="AA13" s="529"/>
      <c r="AB13" s="533"/>
      <c r="AC13" s="354"/>
      <c r="AD13" s="176"/>
      <c r="AE13" s="530"/>
      <c r="AF13" s="531"/>
      <c r="AG13" s="479"/>
    </row>
    <row r="14" spans="1:33" ht="12.75" customHeight="1">
      <c r="A14" s="519"/>
      <c r="B14" s="349"/>
      <c r="C14" s="523"/>
      <c r="D14" s="526"/>
      <c r="E14" s="512"/>
      <c r="F14" s="513"/>
      <c r="G14" s="513"/>
      <c r="H14" s="514"/>
      <c r="I14" s="355">
        <f>IF(ISNA(VLOOKUP("AB7",'素データ'!$P:$R,3,FALSE)),"",VLOOKUP("AB7",'素データ'!$P:$R,3,FALSE))</f>
      </c>
      <c r="J14" s="355">
        <f>IF(ISNA(VLOOKUP("AB7",'素データ'!$P:$T,4,FALSE)),"",VLOOKUP("AB7",'素データ'!$P:$T,4,FALSE))</f>
      </c>
      <c r="K14" s="355">
        <f>IF(I14="","","－")</f>
      </c>
      <c r="L14" s="355">
        <f>IF(ISNA(VLOOKUP("AB7",'素データ'!$P:$T,5,FALSE)),"",VLOOKUP("AB7",'素データ'!$P:$T,5,FALSE))</f>
      </c>
      <c r="M14" s="356">
        <f>IF(ISNA(VLOOKUP("AC7",'素データ'!$P:$R,3,FALSE)),"",VLOOKUP("AC7",'素データ'!$P:$R,3,FALSE))</f>
      </c>
      <c r="N14" s="355">
        <f>IF(ISNA(VLOOKUP("AC7",'素データ'!$P:$T,4,FALSE)),"",VLOOKUP("AC7",'素データ'!$P:$T,4,FALSE))</f>
      </c>
      <c r="O14" s="355">
        <f>IF(M14="","","－")</f>
      </c>
      <c r="P14" s="357">
        <f>IF(ISNA(VLOOKUP("AC7",'素データ'!$P:$T,5,FALSE)),"",VLOOKUP("AC7",'素データ'!$P:$T,5,FALSE))</f>
      </c>
      <c r="Q14" s="355">
        <f>IF(ISNA(VLOOKUP("AD7",'素データ'!$P:$R,3,FALSE)),"",VLOOKUP("AD7",'素データ'!$P:$R,3,FALSE))</f>
      </c>
      <c r="R14" s="355">
        <f>IF(ISNA(VLOOKUP("AD7",'素データ'!$P:$T,4,FALSE)),"",VLOOKUP("AD7",'素データ'!$P:$T,4,FALSE))</f>
      </c>
      <c r="S14" s="355">
        <f>IF(Q14="","","－")</f>
      </c>
      <c r="T14" s="355">
        <f>IF(ISNA(VLOOKUP("AD7",'素データ'!$P:$T,5,FALSE)),"",VLOOKUP("AD7",'素データ'!$P:$T,5,FALSE))</f>
      </c>
      <c r="U14" s="492"/>
      <c r="V14" s="493"/>
      <c r="W14" s="493"/>
      <c r="X14" s="493"/>
      <c r="Y14" s="532"/>
      <c r="Z14" s="529"/>
      <c r="AA14" s="529"/>
      <c r="AB14" s="533"/>
      <c r="AC14" s="354"/>
      <c r="AD14" s="176"/>
      <c r="AE14" s="530"/>
      <c r="AF14" s="531"/>
      <c r="AG14" s="479"/>
    </row>
    <row r="15" spans="1:33" ht="12.75" customHeight="1" hidden="1">
      <c r="A15" s="519"/>
      <c r="B15" s="349"/>
      <c r="C15" s="523"/>
      <c r="D15" s="526"/>
      <c r="E15" s="512"/>
      <c r="F15" s="513"/>
      <c r="G15" s="513"/>
      <c r="H15" s="514"/>
      <c r="I15" s="355">
        <f>IF(ISNA(VLOOKUP("AB8",'素データ'!$P:$R,3,FALSE)),"",VLOOKUP("AB8",'素データ'!$P:$R,3,FALSE))</f>
      </c>
      <c r="J15" s="355">
        <f>IF(ISNA(VLOOKUP("AB8",'素データ'!$P:$T,4,FALSE)),"",VLOOKUP("AB8",'素データ'!$P:$T,4,FALSE))</f>
      </c>
      <c r="K15" s="355">
        <f>IF(I15="","","－")</f>
      </c>
      <c r="L15" s="355">
        <f>IF(ISNA(VLOOKUP("AB8",'素データ'!$P:$T,5,FALSE)),"",VLOOKUP("AB8",'素データ'!$P:$T,5,FALSE))</f>
      </c>
      <c r="M15" s="356">
        <f>IF(ISNA(VLOOKUP("AC8",'素データ'!$P:$R,3,FALSE)),"",VLOOKUP("AC8",'素データ'!$P:$R,3,FALSE))</f>
      </c>
      <c r="N15" s="355">
        <f>IF(ISNA(VLOOKUP("AC8",'素データ'!$P:$T,4,FALSE)),"",VLOOKUP("AC8",'素データ'!$P:$T,4,FALSE))</f>
      </c>
      <c r="O15" s="355">
        <f>IF(M15="","","－")</f>
      </c>
      <c r="P15" s="357">
        <f>IF(ISNA(VLOOKUP("AC8",'素データ'!$P:$T,5,FALSE)),"",VLOOKUP("AC8",'素データ'!$P:$T,5,FALSE))</f>
      </c>
      <c r="Q15" s="355">
        <f>IF(ISNA(VLOOKUP("AD8",'素データ'!$P:$R,3,FALSE)),"",VLOOKUP("AD8",'素データ'!$P:$R,3,FALSE))</f>
      </c>
      <c r="R15" s="355">
        <f>IF(ISNA(VLOOKUP("AD8",'素データ'!$P:$T,4,FALSE)),"",VLOOKUP("AD8",'素データ'!$P:$T,4,FALSE))</f>
      </c>
      <c r="S15" s="355">
        <f>IF(Q15="","","－")</f>
      </c>
      <c r="T15" s="355">
        <f>IF(ISNA(VLOOKUP("AD8",'素データ'!$P:$T,5,FALSE)),"",VLOOKUP("AD8",'素データ'!$P:$T,5,FALSE))</f>
      </c>
      <c r="U15" s="492"/>
      <c r="V15" s="493"/>
      <c r="W15" s="493"/>
      <c r="X15" s="493"/>
      <c r="Y15" s="532"/>
      <c r="Z15" s="529"/>
      <c r="AA15" s="529"/>
      <c r="AB15" s="533"/>
      <c r="AC15" s="354"/>
      <c r="AD15" s="176"/>
      <c r="AE15" s="530"/>
      <c r="AF15" s="531"/>
      <c r="AG15" s="479"/>
    </row>
    <row r="16" spans="1:33" ht="12.75" customHeight="1" hidden="1">
      <c r="A16" s="519"/>
      <c r="B16" s="349"/>
      <c r="C16" s="523"/>
      <c r="D16" s="526"/>
      <c r="E16" s="512"/>
      <c r="F16" s="513"/>
      <c r="G16" s="513"/>
      <c r="H16" s="514"/>
      <c r="I16" s="355">
        <f>IF(ISNA(VLOOKUP("AB9",'素データ'!$P:$R,3,FALSE)),"",VLOOKUP("AB9",'素データ'!$P:$R,3,FALSE))</f>
      </c>
      <c r="J16" s="355">
        <f>IF(ISNA(VLOOKUP("AB9",'素データ'!$P:$T,4,FALSE)),"",VLOOKUP("AB9",'素データ'!$P:$T,4,FALSE))</f>
      </c>
      <c r="K16" s="355">
        <f>IF(I16="","","－")</f>
      </c>
      <c r="L16" s="355">
        <f>IF(ISNA(VLOOKUP("AB9",'素データ'!$P:$T,5,FALSE)),"",VLOOKUP("AB9",'素データ'!$P:$T,5,FALSE))</f>
      </c>
      <c r="M16" s="356">
        <f>IF(ISNA(VLOOKUP("AC9",'素データ'!$P:$R,3,FALSE)),"",VLOOKUP("AC9",'素データ'!$P:$R,3,FALSE))</f>
      </c>
      <c r="N16" s="355">
        <f>IF(ISNA(VLOOKUP("AC9",'素データ'!$P:$T,4,FALSE)),"",VLOOKUP("AC9",'素データ'!$P:$T,4,FALSE))</f>
      </c>
      <c r="O16" s="355">
        <f>IF(M16="","","－")</f>
      </c>
      <c r="P16" s="357">
        <f>IF(ISNA(VLOOKUP("AC9",'素データ'!$P:$T,5,FALSE)),"",VLOOKUP("AC9",'素データ'!$P:$T,5,FALSE))</f>
      </c>
      <c r="Q16" s="355">
        <f>IF(ISNA(VLOOKUP("AD9",'素データ'!$P:$R,3,FALSE)),"",VLOOKUP("AD9",'素データ'!$P:$R,3,FALSE))</f>
      </c>
      <c r="R16" s="355">
        <f>IF(ISNA(VLOOKUP("AD9",'素データ'!$P:$T,4,FALSE)),"",VLOOKUP("AD9",'素データ'!$P:$T,4,FALSE))</f>
      </c>
      <c r="S16" s="355">
        <f>IF(Q16="","","－")</f>
      </c>
      <c r="T16" s="355">
        <f>IF(ISNA(VLOOKUP("AD9",'素データ'!$P:$T,5,FALSE)),"",VLOOKUP("AD9",'素データ'!$P:$T,5,FALSE))</f>
      </c>
      <c r="U16" s="492"/>
      <c r="V16" s="493"/>
      <c r="W16" s="493"/>
      <c r="X16" s="493"/>
      <c r="Y16" s="532"/>
      <c r="Z16" s="529"/>
      <c r="AA16" s="529"/>
      <c r="AB16" s="533"/>
      <c r="AC16" s="354"/>
      <c r="AD16" s="176"/>
      <c r="AE16" s="530"/>
      <c r="AF16" s="531"/>
      <c r="AG16" s="479"/>
    </row>
    <row r="17" spans="1:33" ht="12.75" customHeight="1" thickBot="1">
      <c r="A17" s="520"/>
      <c r="B17" s="349"/>
      <c r="C17" s="524"/>
      <c r="D17" s="527"/>
      <c r="E17" s="515"/>
      <c r="F17" s="516"/>
      <c r="G17" s="516"/>
      <c r="H17" s="517"/>
      <c r="I17" s="355">
        <f>IF(ISNA(VLOOKUP("AB10",'素データ'!$P:$R,3,FALSE)),"",VLOOKUP("AB10",'素データ'!$P:$R,3,FALSE))</f>
      </c>
      <c r="J17" s="355">
        <f>IF(ISNA(VLOOKUP("AB10",'素データ'!$P:$T,4,FALSE)),"",VLOOKUP("AB10",'素データ'!$P:$T,4,FALSE))</f>
      </c>
      <c r="K17" s="355">
        <f>IF(I17="","","－")</f>
      </c>
      <c r="L17" s="355">
        <f>IF(ISNA(VLOOKUP("AB10",'素データ'!$P:$T,5,FALSE)),"",VLOOKUP("AB10",'素データ'!$P:$T,5,FALSE))</f>
      </c>
      <c r="M17" s="356">
        <f>IF(ISNA(VLOOKUP("AC10",'素データ'!$P:$R,3,FALSE)),"",VLOOKUP("AC10",'素データ'!$P:$R,3,FALSE))</f>
      </c>
      <c r="N17" s="355">
        <f>IF(ISNA(VLOOKUP("AC10",'素データ'!$P:$T,4,FALSE)),"",VLOOKUP("AC10",'素データ'!$P:$T,4,FALSE))</f>
      </c>
      <c r="O17" s="355">
        <f>IF(M17="","","－")</f>
      </c>
      <c r="P17" s="357">
        <f>IF(ISNA(VLOOKUP("AC10",'素データ'!$P:$T,5,FALSE)),"",VLOOKUP("AC10",'素データ'!$P:$T,5,FALSE))</f>
      </c>
      <c r="Q17" s="355">
        <f>IF(ISNA(VLOOKUP("AD10",'素データ'!$P:$R,3,FALSE)),"",VLOOKUP("AD10",'素データ'!$P:$R,3,FALSE))</f>
      </c>
      <c r="R17" s="355">
        <f>IF(ISNA(VLOOKUP("AD10",'素データ'!$P:$T,4,FALSE)),"",VLOOKUP("AD10",'素データ'!$P:$T,4,FALSE))</f>
      </c>
      <c r="S17" s="355">
        <f>IF(Q17="","","－")</f>
      </c>
      <c r="T17" s="355">
        <f>IF(ISNA(VLOOKUP("AD10",'素データ'!$P:$T,5,FALSE)),"",VLOOKUP("AD10",'素データ'!$P:$T,5,FALSE))</f>
      </c>
      <c r="U17" s="492"/>
      <c r="V17" s="493"/>
      <c r="W17" s="493"/>
      <c r="X17" s="493"/>
      <c r="Y17" s="532"/>
      <c r="Z17" s="529"/>
      <c r="AA17" s="529"/>
      <c r="AB17" s="533"/>
      <c r="AC17" s="354"/>
      <c r="AD17" s="176"/>
      <c r="AE17" s="530"/>
      <c r="AF17" s="531"/>
      <c r="AG17" s="479"/>
    </row>
    <row r="18" spans="1:33" ht="12.75" customHeight="1">
      <c r="A18" s="518">
        <f>Y18+(V18-W18)/100000+0.000007</f>
        <v>-3.3E-05</v>
      </c>
      <c r="B18" s="349"/>
      <c r="C18" s="522" t="str">
        <f>'素データ'!Y8</f>
        <v>B</v>
      </c>
      <c r="D18" s="525" t="str">
        <f>VLOOKUP(C18,'素データ'!$Y$7:$Z$14,2,FALSE)</f>
        <v>ベアーズ</v>
      </c>
      <c r="E18" s="358" t="str">
        <f>IF(I8="","",VLOOKUP(I8,'素データ'!$Z$21:$AA$23,2,FALSE))</f>
        <v>●</v>
      </c>
      <c r="F18" s="359">
        <f aca="true" t="shared" si="3" ref="F18:F23">L8</f>
        <v>1</v>
      </c>
      <c r="G18" s="359" t="str">
        <f aca="true" t="shared" si="4" ref="G18:G28">IF(E18="","","－")</f>
        <v>－</v>
      </c>
      <c r="H18" s="360">
        <f aca="true" t="shared" si="5" ref="H18:H23">J8</f>
        <v>7</v>
      </c>
      <c r="I18" s="509" t="s">
        <v>448</v>
      </c>
      <c r="J18" s="510"/>
      <c r="K18" s="510"/>
      <c r="L18" s="511"/>
      <c r="M18" s="352" t="str">
        <f>IF(ISNA(VLOOKUP("BC1",'素データ'!$P:$R,3,FALSE)),"",VLOOKUP("BC1",'素データ'!$P:$R,3,FALSE))</f>
        <v>●</v>
      </c>
      <c r="N18" s="351">
        <f>IF(ISNA(VLOOKUP("BC1",'素データ'!$P:$T,4,FALSE)),"",VLOOKUP("BC1",'素データ'!$P:$T,4,FALSE))</f>
        <v>7</v>
      </c>
      <c r="O18" s="351" t="str">
        <f aca="true" t="shared" si="6" ref="O18:O23">IF(M18="","","－")</f>
        <v>－</v>
      </c>
      <c r="P18" s="353">
        <f>IF(ISNA(VLOOKUP("BC1",'素データ'!$P:$T,5,FALSE)),"",VLOOKUP("BC1",'素データ'!$P:$T,5,FALSE))</f>
        <v>10</v>
      </c>
      <c r="Q18" s="351" t="str">
        <f>IF(ISNA(VLOOKUP("BD1",'素データ'!$P:$R,3,FALSE)),"",VLOOKUP("BD1",'素データ'!$P:$R,3,FALSE))</f>
        <v>●</v>
      </c>
      <c r="R18" s="351">
        <f>IF(ISNA(VLOOKUP("BD1",'素データ'!$P:$T,4,FALSE)),"",VLOOKUP("BD1",'素データ'!$P:$T,4,FALSE))</f>
        <v>3</v>
      </c>
      <c r="S18" s="351" t="str">
        <f t="shared" si="2"/>
        <v>－</v>
      </c>
      <c r="T18" s="351">
        <f>IF(ISNA(VLOOKUP("BD1",'素データ'!$P:$T,5,FALSE)),"",VLOOKUP("BD1",'素データ'!$P:$T,5,FALSE))</f>
        <v>15</v>
      </c>
      <c r="U18" s="492">
        <f>SUM(V18:X18)</f>
        <v>4</v>
      </c>
      <c r="V18" s="493">
        <f>COUNTIF(E18:T27,"○")</f>
        <v>0</v>
      </c>
      <c r="W18" s="493">
        <f>COUNTIF(E18:T27,"●")</f>
        <v>4</v>
      </c>
      <c r="X18" s="493">
        <f>COUNTIF(E18:T27,"△")</f>
        <v>0</v>
      </c>
      <c r="Y18" s="532">
        <f>ROUND(V18/(V18+W18),3)</f>
        <v>0</v>
      </c>
      <c r="Z18" s="529">
        <f>SUM(F18:F27)+SUM(N18:N27)+SUM(R18:R27)</f>
        <v>15</v>
      </c>
      <c r="AA18" s="529">
        <f>SUM(H18:H27)+SUM(P18:P27)+SUM(T18:T27)</f>
        <v>44</v>
      </c>
      <c r="AB18" s="533">
        <f>RANK(Y18,$Y$8:$Y$43,0)</f>
        <v>4</v>
      </c>
      <c r="AC18" s="354"/>
      <c r="AD18" s="176"/>
      <c r="AE18" s="530" t="str">
        <f>IF(V18=((DCOUNTA('素データ'!$F$5:$L$36,"試合結果",criteria!B13:H14))+(DCOUNTA('素データ'!$F$5:$L$36,"試合結果",criteria!B15:H16))),"OK","NG")</f>
        <v>OK</v>
      </c>
      <c r="AF18" s="531" t="str">
        <f>IF(W18=((DCOUNTA('素データ'!$F$5:$L$36,"試合結果",criteria!B17:H18))+(DCOUNTA('素データ'!$F$5:$L$36,"試合結果",criteria!B19:H20))),"OK","NG")</f>
        <v>OK</v>
      </c>
      <c r="AG18" s="479" t="str">
        <f>IF(X18=((DCOUNTA('素データ'!$F$5:$L$36,"試合結果",criteria!B21:H22))+(DCOUNTA('素データ'!$F$5:$L$36,"試合結果",criteria!B23:H24))),"OK","NG")</f>
        <v>OK</v>
      </c>
    </row>
    <row r="19" spans="1:33" ht="12.75" customHeight="1">
      <c r="A19" s="519"/>
      <c r="B19" s="349"/>
      <c r="C19" s="523"/>
      <c r="D19" s="526"/>
      <c r="E19" s="361" t="str">
        <f>IF(I9="","",VLOOKUP(I9,'素データ'!$Z$21:$AA$23,2,FALSE))</f>
        <v>●</v>
      </c>
      <c r="F19" s="362">
        <f t="shared" si="3"/>
        <v>4</v>
      </c>
      <c r="G19" s="362" t="str">
        <f t="shared" si="4"/>
        <v>－</v>
      </c>
      <c r="H19" s="363">
        <f t="shared" si="5"/>
        <v>12</v>
      </c>
      <c r="I19" s="512"/>
      <c r="J19" s="513"/>
      <c r="K19" s="513"/>
      <c r="L19" s="514"/>
      <c r="M19" s="356">
        <f>IF(ISNA(VLOOKUP("BC2",'素データ'!$P:$R,3,FALSE)),"",VLOOKUP("BC2",'素データ'!$P:$R,3,FALSE))</f>
      </c>
      <c r="N19" s="355">
        <f>IF(ISNA(VLOOKUP("BC2",'素データ'!$P:$T,4,FALSE)),"",VLOOKUP("BC2",'素データ'!$P:$T,4,FALSE))</f>
      </c>
      <c r="O19" s="355">
        <f t="shared" si="6"/>
      </c>
      <c r="P19" s="357">
        <f>IF(ISNA(VLOOKUP("BC2",'素データ'!$P:$T,5,FALSE)),"",VLOOKUP("BC2",'素データ'!$P:$T,5,FALSE))</f>
      </c>
      <c r="Q19" s="355">
        <f>IF(ISNA(VLOOKUP("BD2",'素データ'!$P:$R,3,FALSE)),"",VLOOKUP("BD2",'素データ'!$P:$R,3,FALSE))</f>
      </c>
      <c r="R19" s="355">
        <f>IF(ISNA(VLOOKUP("BD2",'素データ'!$P:$T,4,FALSE)),"",VLOOKUP("BD2",'素データ'!$P:$T,4,FALSE))</f>
      </c>
      <c r="S19" s="355">
        <f t="shared" si="2"/>
      </c>
      <c r="T19" s="355">
        <f>IF(ISNA(VLOOKUP("BD2",'素データ'!$P:$T,5,FALSE)),"",VLOOKUP("BD2",'素データ'!$P:$T,5,FALSE))</f>
      </c>
      <c r="U19" s="492"/>
      <c r="V19" s="493"/>
      <c r="W19" s="493"/>
      <c r="X19" s="493"/>
      <c r="Y19" s="532"/>
      <c r="Z19" s="529"/>
      <c r="AA19" s="529"/>
      <c r="AB19" s="533"/>
      <c r="AC19" s="354"/>
      <c r="AD19" s="176"/>
      <c r="AE19" s="530"/>
      <c r="AF19" s="531"/>
      <c r="AG19" s="479"/>
    </row>
    <row r="20" spans="1:33" ht="12.75" customHeight="1">
      <c r="A20" s="519"/>
      <c r="B20" s="349"/>
      <c r="C20" s="523"/>
      <c r="D20" s="526"/>
      <c r="E20" s="361">
        <f>IF(I10="","",VLOOKUP(I10,'素データ'!$Z$21:$AA$23,2,FALSE))</f>
      </c>
      <c r="F20" s="362">
        <f t="shared" si="3"/>
      </c>
      <c r="G20" s="362">
        <f t="shared" si="4"/>
      </c>
      <c r="H20" s="363">
        <f t="shared" si="5"/>
      </c>
      <c r="I20" s="512"/>
      <c r="J20" s="513"/>
      <c r="K20" s="513"/>
      <c r="L20" s="514"/>
      <c r="M20" s="356">
        <f>IF(ISNA(VLOOKUP("BC3",'素データ'!$P:$R,3,FALSE)),"",VLOOKUP("BC3",'素データ'!$P:$R,3,FALSE))</f>
      </c>
      <c r="N20" s="355">
        <f>IF(ISNA(VLOOKUP("BC3",'素データ'!$P:$T,4,FALSE)),"",VLOOKUP("BC3",'素データ'!$P:$T,4,FALSE))</f>
      </c>
      <c r="O20" s="355">
        <f t="shared" si="6"/>
      </c>
      <c r="P20" s="357">
        <f>IF(ISNA(VLOOKUP("BC3",'素データ'!$P:$T,5,FALSE)),"",VLOOKUP("BC3",'素データ'!$P:$T,5,FALSE))</f>
      </c>
      <c r="Q20" s="355">
        <f>IF(ISNA(VLOOKUP("BD3",'素データ'!$P:$R,3,FALSE)),"",VLOOKUP("BD3",'素データ'!$P:$R,3,FALSE))</f>
      </c>
      <c r="R20" s="355">
        <f>IF(ISNA(VLOOKUP("BD3",'素データ'!$P:$T,4,FALSE)),"",VLOOKUP("BD3",'素データ'!$P:$T,4,FALSE))</f>
      </c>
      <c r="S20" s="355">
        <f t="shared" si="2"/>
      </c>
      <c r="T20" s="355">
        <f>IF(ISNA(VLOOKUP("BD3",'素データ'!$P:$T,5,FALSE)),"",VLOOKUP("BD3",'素データ'!$P:$T,5,FALSE))</f>
      </c>
      <c r="U20" s="492"/>
      <c r="V20" s="493"/>
      <c r="W20" s="493"/>
      <c r="X20" s="493"/>
      <c r="Y20" s="532"/>
      <c r="Z20" s="529"/>
      <c r="AA20" s="529"/>
      <c r="AB20" s="533"/>
      <c r="AC20" s="354"/>
      <c r="AD20" s="176"/>
      <c r="AE20" s="530"/>
      <c r="AF20" s="531"/>
      <c r="AG20" s="479"/>
    </row>
    <row r="21" spans="1:33" ht="12.75" customHeight="1">
      <c r="A21" s="519"/>
      <c r="B21" s="349"/>
      <c r="C21" s="523"/>
      <c r="D21" s="526"/>
      <c r="E21" s="361">
        <f>IF(I11="","",VLOOKUP(I11,'素データ'!$Z$21:$AA$23,2,FALSE))</f>
      </c>
      <c r="F21" s="362">
        <f t="shared" si="3"/>
      </c>
      <c r="G21" s="362">
        <f t="shared" si="4"/>
      </c>
      <c r="H21" s="363">
        <f t="shared" si="5"/>
      </c>
      <c r="I21" s="512"/>
      <c r="J21" s="513"/>
      <c r="K21" s="513"/>
      <c r="L21" s="514"/>
      <c r="M21" s="356">
        <f>IF(ISNA(VLOOKUP("BC4",'素データ'!$P:$R,3,FALSE)),"",VLOOKUP("BC4",'素データ'!$P:$R,3,FALSE))</f>
      </c>
      <c r="N21" s="355">
        <f>IF(ISNA(VLOOKUP("BC4",'素データ'!$P:$T,4,FALSE)),"",VLOOKUP("BC4",'素データ'!$P:$T,4,FALSE))</f>
      </c>
      <c r="O21" s="355">
        <f t="shared" si="6"/>
      </c>
      <c r="P21" s="357">
        <f>IF(ISNA(VLOOKUP("BC4",'素データ'!$P:$T,5,FALSE)),"",VLOOKUP("BC4",'素データ'!$P:$T,5,FALSE))</f>
      </c>
      <c r="Q21" s="355">
        <f>IF(ISNA(VLOOKUP("BD4",'素データ'!$P:$R,3,FALSE)),"",VLOOKUP("BD4",'素データ'!$P:$R,3,FALSE))</f>
      </c>
      <c r="R21" s="355">
        <f>IF(ISNA(VLOOKUP("BD4",'素データ'!$P:$T,4,FALSE)),"",VLOOKUP("BD4",'素データ'!$P:$T,4,FALSE))</f>
      </c>
      <c r="S21" s="355">
        <f t="shared" si="2"/>
      </c>
      <c r="T21" s="355">
        <f>IF(ISNA(VLOOKUP("BD4",'素データ'!$P:$T,5,FALSE)),"",VLOOKUP("BD4",'素データ'!$P:$T,5,FALSE))</f>
      </c>
      <c r="U21" s="492"/>
      <c r="V21" s="493"/>
      <c r="W21" s="493"/>
      <c r="X21" s="493"/>
      <c r="Y21" s="532"/>
      <c r="Z21" s="529"/>
      <c r="AA21" s="529"/>
      <c r="AB21" s="533"/>
      <c r="AC21" s="354"/>
      <c r="AD21" s="176"/>
      <c r="AE21" s="530"/>
      <c r="AF21" s="531"/>
      <c r="AG21" s="479"/>
    </row>
    <row r="22" spans="1:33" ht="12.75" customHeight="1">
      <c r="A22" s="519"/>
      <c r="B22" s="349"/>
      <c r="C22" s="523"/>
      <c r="D22" s="526"/>
      <c r="E22" s="361">
        <f>IF(I12="","",VLOOKUP(I12,'素データ'!$Z$21:$AA$23,2,FALSE))</f>
      </c>
      <c r="F22" s="362">
        <f t="shared" si="3"/>
      </c>
      <c r="G22" s="362">
        <f t="shared" si="4"/>
      </c>
      <c r="H22" s="363">
        <f t="shared" si="5"/>
      </c>
      <c r="I22" s="512"/>
      <c r="J22" s="513"/>
      <c r="K22" s="513"/>
      <c r="L22" s="514"/>
      <c r="M22" s="356">
        <f>IF(ISNA(VLOOKUP("BC5",'素データ'!$P:$R,3,FALSE)),"",VLOOKUP("BC5",'素データ'!$P:$R,3,FALSE))</f>
      </c>
      <c r="N22" s="355">
        <f>IF(ISNA(VLOOKUP("BC5",'素データ'!$P:$T,4,FALSE)),"",VLOOKUP("BC5",'素データ'!$P:$T,4,FALSE))</f>
      </c>
      <c r="O22" s="355">
        <f t="shared" si="6"/>
      </c>
      <c r="P22" s="357">
        <f>IF(ISNA(VLOOKUP("BC5",'素データ'!$P:$T,5,FALSE)),"",VLOOKUP("BC5",'素データ'!$P:$T,5,FALSE))</f>
      </c>
      <c r="Q22" s="355">
        <f>IF(ISNA(VLOOKUP("BD5",'素データ'!$P:$R,3,FALSE)),"",VLOOKUP("BD5",'素データ'!$P:$R,3,FALSE))</f>
      </c>
      <c r="R22" s="355">
        <f>IF(ISNA(VLOOKUP("BD5",'素データ'!$P:$T,4,FALSE)),"",VLOOKUP("BD5",'素データ'!$P:$T,4,FALSE))</f>
      </c>
      <c r="S22" s="355">
        <f t="shared" si="2"/>
      </c>
      <c r="T22" s="355">
        <f>IF(ISNA(VLOOKUP("BD5",'素データ'!$P:$T,5,FALSE)),"",VLOOKUP("BD5",'素データ'!$P:$T,5,FALSE))</f>
      </c>
      <c r="U22" s="492"/>
      <c r="V22" s="493"/>
      <c r="W22" s="493"/>
      <c r="X22" s="493"/>
      <c r="Y22" s="532"/>
      <c r="Z22" s="529"/>
      <c r="AA22" s="529"/>
      <c r="AB22" s="533"/>
      <c r="AC22" s="354"/>
      <c r="AD22" s="176"/>
      <c r="AE22" s="530"/>
      <c r="AF22" s="531"/>
      <c r="AG22" s="479"/>
    </row>
    <row r="23" spans="1:33" ht="12.75" customHeight="1">
      <c r="A23" s="519"/>
      <c r="B23" s="349"/>
      <c r="C23" s="523"/>
      <c r="D23" s="526"/>
      <c r="E23" s="361">
        <f>IF(I13="","",VLOOKUP(I13,'素データ'!$Z$21:$AA$23,2,FALSE))</f>
      </c>
      <c r="F23" s="362">
        <f t="shared" si="3"/>
      </c>
      <c r="G23" s="362">
        <f t="shared" si="4"/>
      </c>
      <c r="H23" s="363">
        <f t="shared" si="5"/>
      </c>
      <c r="I23" s="512"/>
      <c r="J23" s="513"/>
      <c r="K23" s="513"/>
      <c r="L23" s="514"/>
      <c r="M23" s="356">
        <f>IF(ISNA(VLOOKUP("BC6",'素データ'!$P:$R,3,FALSE)),"",VLOOKUP("BC6",'素データ'!$P:$R,3,FALSE))</f>
      </c>
      <c r="N23" s="355">
        <f>IF(ISNA(VLOOKUP("BC6",'素データ'!$P:$T,4,FALSE)),"",VLOOKUP("BC6",'素データ'!$P:$T,4,FALSE))</f>
      </c>
      <c r="O23" s="355">
        <f t="shared" si="6"/>
      </c>
      <c r="P23" s="357">
        <f>IF(ISNA(VLOOKUP("BC6",'素データ'!$P:$T,5,FALSE)),"",VLOOKUP("BC6",'素データ'!$P:$T,5,FALSE))</f>
      </c>
      <c r="Q23" s="355">
        <f>IF(ISNA(VLOOKUP("BD6",'素データ'!$P:$R,3,FALSE)),"",VLOOKUP("BD6",'素データ'!$P:$R,3,FALSE))</f>
      </c>
      <c r="R23" s="355">
        <f>IF(ISNA(VLOOKUP("BD6",'素データ'!$P:$T,4,FALSE)),"",VLOOKUP("BD6",'素データ'!$P:$T,4,FALSE))</f>
      </c>
      <c r="S23" s="355">
        <f t="shared" si="2"/>
      </c>
      <c r="T23" s="355">
        <f>IF(ISNA(VLOOKUP("BD6",'素データ'!$P:$T,5,FALSE)),"",VLOOKUP("BD6",'素データ'!$P:$T,5,FALSE))</f>
      </c>
      <c r="U23" s="492"/>
      <c r="V23" s="493"/>
      <c r="W23" s="493"/>
      <c r="X23" s="493"/>
      <c r="Y23" s="532"/>
      <c r="Z23" s="529"/>
      <c r="AA23" s="529"/>
      <c r="AB23" s="533"/>
      <c r="AC23" s="354"/>
      <c r="AD23" s="176"/>
      <c r="AE23" s="530"/>
      <c r="AF23" s="531"/>
      <c r="AG23" s="479"/>
    </row>
    <row r="24" spans="1:33" ht="12.75" customHeight="1">
      <c r="A24" s="519"/>
      <c r="B24" s="349"/>
      <c r="C24" s="523"/>
      <c r="D24" s="526"/>
      <c r="E24" s="361">
        <f>IF(I14="","",VLOOKUP(I14,'素データ'!$Z$21:$AA$23,2,FALSE))</f>
      </c>
      <c r="F24" s="362">
        <f>L14</f>
      </c>
      <c r="G24" s="362">
        <f t="shared" si="4"/>
      </c>
      <c r="H24" s="363">
        <f>J14</f>
      </c>
      <c r="I24" s="512"/>
      <c r="J24" s="513"/>
      <c r="K24" s="513"/>
      <c r="L24" s="514"/>
      <c r="M24" s="356">
        <f>IF(ISNA(VLOOKUP("BC7",'素データ'!$P:$R,3,FALSE)),"",VLOOKUP("BC7",'素データ'!$P:$R,3,FALSE))</f>
      </c>
      <c r="N24" s="355">
        <f>IF(ISNA(VLOOKUP("BC7",'素データ'!$P:$T,4,FALSE)),"",VLOOKUP("BC7",'素データ'!$P:$T,4,FALSE))</f>
      </c>
      <c r="O24" s="355">
        <f>IF(M24="","","－")</f>
      </c>
      <c r="P24" s="357">
        <f>IF(ISNA(VLOOKUP("BC7",'素データ'!$P:$T,5,FALSE)),"",VLOOKUP("BC7",'素データ'!$P:$T,5,FALSE))</f>
      </c>
      <c r="Q24" s="356">
        <f>IF(ISNA(VLOOKUP("BD7",'素データ'!$P:$R,3,FALSE)),"",VLOOKUP("BD7",'素データ'!$P:$R,3,FALSE))</f>
      </c>
      <c r="R24" s="355">
        <f>IF(ISNA(VLOOKUP("BD7",'素データ'!$P:$T,4,FALSE)),"",VLOOKUP("BD7",'素データ'!$P:$T,4,FALSE))</f>
      </c>
      <c r="S24" s="355">
        <f>IF(Q24="","","－")</f>
      </c>
      <c r="T24" s="357">
        <f>IF(ISNA(VLOOKUP("BD7",'素データ'!$P:$T,5,FALSE)),"",VLOOKUP("BD7",'素データ'!$P:$T,5,FALSE))</f>
      </c>
      <c r="U24" s="492"/>
      <c r="V24" s="493"/>
      <c r="W24" s="493"/>
      <c r="X24" s="493"/>
      <c r="Y24" s="532"/>
      <c r="Z24" s="529"/>
      <c r="AA24" s="529"/>
      <c r="AB24" s="533"/>
      <c r="AC24" s="354"/>
      <c r="AD24" s="176"/>
      <c r="AE24" s="530"/>
      <c r="AF24" s="531"/>
      <c r="AG24" s="479"/>
    </row>
    <row r="25" spans="1:33" ht="12.75" customHeight="1" hidden="1">
      <c r="A25" s="519"/>
      <c r="B25" s="349"/>
      <c r="C25" s="523"/>
      <c r="D25" s="526"/>
      <c r="E25" s="361">
        <f>IF(I15="","",VLOOKUP(I15,'素データ'!$Z$21:$AA$23,2,FALSE))</f>
      </c>
      <c r="F25" s="362">
        <f>L15</f>
      </c>
      <c r="G25" s="362">
        <f t="shared" si="4"/>
      </c>
      <c r="H25" s="363">
        <f>J15</f>
      </c>
      <c r="I25" s="512"/>
      <c r="J25" s="513"/>
      <c r="K25" s="513"/>
      <c r="L25" s="514"/>
      <c r="M25" s="356">
        <f>IF(ISNA(VLOOKUP("BC8",'素データ'!$P:$R,3,FALSE)),"",VLOOKUP("BC8",'素データ'!$P:$R,3,FALSE))</f>
      </c>
      <c r="N25" s="355">
        <f>IF(ISNA(VLOOKUP("BC8",'素データ'!$P:$T,4,FALSE)),"",VLOOKUP("BC8",'素データ'!$P:$T,4,FALSE))</f>
      </c>
      <c r="O25" s="355">
        <f>IF(M25="","","－")</f>
      </c>
      <c r="P25" s="357">
        <f>IF(ISNA(VLOOKUP("BC8",'素データ'!$P:$T,5,FALSE)),"",VLOOKUP("BC8",'素データ'!$P:$T,5,FALSE))</f>
      </c>
      <c r="Q25" s="356">
        <f>IF(ISNA(VLOOKUP("BD8",'素データ'!$P:$R,3,FALSE)),"",VLOOKUP("BD8",'素データ'!$P:$R,3,FALSE))</f>
      </c>
      <c r="R25" s="355">
        <f>IF(ISNA(VLOOKUP("BD8",'素データ'!$P:$T,4,FALSE)),"",VLOOKUP("BD8",'素データ'!$P:$T,4,FALSE))</f>
      </c>
      <c r="S25" s="355">
        <f>IF(Q25="","","－")</f>
      </c>
      <c r="T25" s="357">
        <f>IF(ISNA(VLOOKUP("BD8",'素データ'!$P:$T,5,FALSE)),"",VLOOKUP("BD8",'素データ'!$P:$T,5,FALSE))</f>
      </c>
      <c r="U25" s="492"/>
      <c r="V25" s="493"/>
      <c r="W25" s="493"/>
      <c r="X25" s="493"/>
      <c r="Y25" s="532"/>
      <c r="Z25" s="529"/>
      <c r="AA25" s="529"/>
      <c r="AB25" s="533"/>
      <c r="AC25" s="354"/>
      <c r="AD25" s="176"/>
      <c r="AE25" s="530"/>
      <c r="AF25" s="531"/>
      <c r="AG25" s="479"/>
    </row>
    <row r="26" spans="1:33" ht="12.75" customHeight="1" hidden="1">
      <c r="A26" s="519"/>
      <c r="B26" s="349"/>
      <c r="C26" s="523"/>
      <c r="D26" s="526"/>
      <c r="E26" s="361">
        <f>IF(I16="","",VLOOKUP(I16,'素データ'!$Z$21:$AA$23,2,FALSE))</f>
      </c>
      <c r="F26" s="362">
        <f>L16</f>
      </c>
      <c r="G26" s="362">
        <f t="shared" si="4"/>
      </c>
      <c r="H26" s="363">
        <f>J16</f>
      </c>
      <c r="I26" s="512"/>
      <c r="J26" s="513"/>
      <c r="K26" s="513"/>
      <c r="L26" s="514"/>
      <c r="M26" s="356">
        <f>IF(ISNA(VLOOKUP("BC9",'素データ'!$P:$R,3,FALSE)),"",VLOOKUP("BC9",'素データ'!$P:$R,3,FALSE))</f>
      </c>
      <c r="N26" s="355">
        <f>IF(ISNA(VLOOKUP("BC9",'素データ'!$P:$T,4,FALSE)),"",VLOOKUP("BC9",'素データ'!$P:$T,4,FALSE))</f>
      </c>
      <c r="O26" s="355">
        <f>IF(M26="","","－")</f>
      </c>
      <c r="P26" s="357">
        <f>IF(ISNA(VLOOKUP("BC9",'素データ'!$P:$T,5,FALSE)),"",VLOOKUP("BC9",'素データ'!$P:$T,5,FALSE))</f>
      </c>
      <c r="Q26" s="356">
        <f>IF(ISNA(VLOOKUP("BD9",'素データ'!$P:$R,3,FALSE)),"",VLOOKUP("BD9",'素データ'!$P:$R,3,FALSE))</f>
      </c>
      <c r="R26" s="355">
        <f>IF(ISNA(VLOOKUP("BD9",'素データ'!$P:$T,4,FALSE)),"",VLOOKUP("BD9",'素データ'!$P:$T,4,FALSE))</f>
      </c>
      <c r="S26" s="355">
        <f>IF(Q26="","","－")</f>
      </c>
      <c r="T26" s="357">
        <f>IF(ISNA(VLOOKUP("BD9",'素データ'!$P:$T,5,FALSE)),"",VLOOKUP("BD9",'素データ'!$P:$T,5,FALSE))</f>
      </c>
      <c r="U26" s="492"/>
      <c r="V26" s="493"/>
      <c r="W26" s="493"/>
      <c r="X26" s="493"/>
      <c r="Y26" s="532"/>
      <c r="Z26" s="529"/>
      <c r="AA26" s="529"/>
      <c r="AB26" s="533"/>
      <c r="AC26" s="354"/>
      <c r="AD26" s="176"/>
      <c r="AE26" s="530"/>
      <c r="AF26" s="531"/>
      <c r="AG26" s="479"/>
    </row>
    <row r="27" spans="1:33" ht="12.75" customHeight="1" thickBot="1">
      <c r="A27" s="520"/>
      <c r="B27" s="349"/>
      <c r="C27" s="524"/>
      <c r="D27" s="527"/>
      <c r="E27" s="361">
        <f>IF(I17="","",VLOOKUP(I17,'素データ'!$Z$21:$AA$23,2,FALSE))</f>
      </c>
      <c r="F27" s="362">
        <f>L17</f>
      </c>
      <c r="G27" s="362">
        <f t="shared" si="4"/>
      </c>
      <c r="H27" s="363">
        <f>J17</f>
      </c>
      <c r="I27" s="515"/>
      <c r="J27" s="516"/>
      <c r="K27" s="516"/>
      <c r="L27" s="517"/>
      <c r="M27" s="356">
        <f>IF(ISNA(VLOOKUP("BC10",'素データ'!$P:$R,3,FALSE)),"",VLOOKUP("BC10",'素データ'!$P:$R,3,FALSE))</f>
      </c>
      <c r="N27" s="355">
        <f>IF(ISNA(VLOOKUP("BC10",'素データ'!$P:$T,4,FALSE)),"",VLOOKUP("BC10",'素データ'!$P:$T,4,FALSE))</f>
      </c>
      <c r="O27" s="355">
        <f>IF(M27="","","－")</f>
      </c>
      <c r="P27" s="357">
        <f>IF(ISNA(VLOOKUP("BC10",'素データ'!$P:$T,5,FALSE)),"",VLOOKUP("BC10",'素データ'!$P:$T,5,FALSE))</f>
      </c>
      <c r="Q27" s="364">
        <f>IF(ISNA(VLOOKUP("BD10",'素データ'!$P:$R,3,FALSE)),"",VLOOKUP("BD10",'素データ'!$P:$R,3,FALSE))</f>
      </c>
      <c r="R27" s="365">
        <f>IF(ISNA(VLOOKUP("BD10",'素データ'!$P:$T,4,FALSE)),"",VLOOKUP("BD10",'素データ'!$P:$T,4,FALSE))</f>
      </c>
      <c r="S27" s="365">
        <f>IF(Q27="","","－")</f>
      </c>
      <c r="T27" s="366">
        <f>IF(ISNA(VLOOKUP("BD10",'素データ'!$P:$T,5,FALSE)),"",VLOOKUP("BD10",'素データ'!$P:$T,5,FALSE))</f>
      </c>
      <c r="U27" s="492"/>
      <c r="V27" s="493"/>
      <c r="W27" s="493"/>
      <c r="X27" s="493"/>
      <c r="Y27" s="532"/>
      <c r="Z27" s="529"/>
      <c r="AA27" s="529"/>
      <c r="AB27" s="533"/>
      <c r="AC27" s="354"/>
      <c r="AD27" s="176"/>
      <c r="AE27" s="530"/>
      <c r="AF27" s="531"/>
      <c r="AG27" s="479"/>
    </row>
    <row r="28" spans="1:33" ht="12.75" customHeight="1">
      <c r="A28" s="518">
        <f>Y28+(V28-W28)/100000+0.000006</f>
        <v>0.500006</v>
      </c>
      <c r="B28" s="349"/>
      <c r="C28" s="522" t="str">
        <f>'素データ'!Y9</f>
        <v>C</v>
      </c>
      <c r="D28" s="525" t="str">
        <f>VLOOKUP(C28,'素データ'!$Y$7:$Z$14,2,FALSE)</f>
        <v>エンジェルス</v>
      </c>
      <c r="E28" s="358" t="str">
        <f>IF(M8="","",VLOOKUP(M8,'素データ'!$Z$21:$AA$23,2,FALSE))</f>
        <v>●</v>
      </c>
      <c r="F28" s="359">
        <f>P8</f>
        <v>3</v>
      </c>
      <c r="G28" s="359" t="str">
        <f t="shared" si="4"/>
        <v>－</v>
      </c>
      <c r="H28" s="360">
        <f>N8</f>
        <v>12</v>
      </c>
      <c r="I28" s="358" t="str">
        <f>IF(M18="","",VLOOKUP(M18,'素データ'!$Z$21:$AA$23,2,FALSE))</f>
        <v>○</v>
      </c>
      <c r="J28" s="359">
        <f>P18</f>
        <v>10</v>
      </c>
      <c r="K28" s="359" t="str">
        <f>IF(I28="","","－")</f>
        <v>－</v>
      </c>
      <c r="L28" s="360">
        <f>N18</f>
        <v>7</v>
      </c>
      <c r="M28" s="509" t="s">
        <v>448</v>
      </c>
      <c r="N28" s="510"/>
      <c r="O28" s="510"/>
      <c r="P28" s="511"/>
      <c r="Q28" s="355" t="str">
        <f>IF(ISNA(VLOOKUP("CD1",'素データ'!$P:$R,3,FALSE)),"",VLOOKUP("CD1",'素データ'!$P:$R,3,FALSE))</f>
        <v>●</v>
      </c>
      <c r="R28" s="355">
        <f>IF(ISNA(VLOOKUP("CD1",'素データ'!$P:$T,4,FALSE)),"",VLOOKUP("CD1",'素データ'!$P:$T,4,FALSE))</f>
        <v>4</v>
      </c>
      <c r="S28" s="355" t="str">
        <f aca="true" t="shared" si="7" ref="S28:S33">IF(Q28="","","－")</f>
        <v>－</v>
      </c>
      <c r="T28" s="355">
        <f>IF(ISNA(VLOOKUP("CD1",'素データ'!$P:$T,5,FALSE)),"",VLOOKUP("CD1",'素データ'!$P:$T,5,FALSE))</f>
        <v>10</v>
      </c>
      <c r="U28" s="492">
        <f>SUM(V28:X28)</f>
        <v>4</v>
      </c>
      <c r="V28" s="493">
        <f>COUNTIF(E28:T37,"○")</f>
        <v>2</v>
      </c>
      <c r="W28" s="493">
        <f>COUNTIF(E28:T37,"●")</f>
        <v>2</v>
      </c>
      <c r="X28" s="493">
        <f>COUNTIF(E28:T37,"△")</f>
        <v>0</v>
      </c>
      <c r="Y28" s="532">
        <f>ROUND(V28/(V28+W28),3)</f>
        <v>0.5</v>
      </c>
      <c r="Z28" s="529">
        <f>SUM(F28:G37)+SUM(J28:J37)+SUM(R28:R37)</f>
        <v>30</v>
      </c>
      <c r="AA28" s="529">
        <f>SUM(H28:H37)+SUM(L28:L37)+SUM(T28:T37)</f>
        <v>33</v>
      </c>
      <c r="AB28" s="533">
        <f>RANK(Y28,$Y$8:$Y$43,0)</f>
        <v>3</v>
      </c>
      <c r="AC28" s="354"/>
      <c r="AD28" s="176"/>
      <c r="AE28" s="480" t="str">
        <f>IF(V28=((DCOUNTA('素データ'!$F$5:$L$36,"試合結果",criteria!B25:H26))+(DCOUNTA('素データ'!$F$5:$L$36,"試合結果",criteria!B27:H28))),"OK","NG")</f>
        <v>OK</v>
      </c>
      <c r="AF28" s="481" t="str">
        <f>IF(W28=((DCOUNTA('素データ'!$F$5:$L$36,"試合結果",criteria!B29:H30))+(DCOUNTA('素データ'!$F$5:$L$36,"試合結果",criteria!B31:H32))),"OK","NG")</f>
        <v>OK</v>
      </c>
      <c r="AG28" s="482" t="str">
        <f>IF(X28=((DCOUNTA('素データ'!$F$5:$L$36,"試合結果",criteria!B33:H34))+(DCOUNTA('素データ'!$F$5:$L$36,"試合結果",criteria!B35:H36))),"OK","NG")</f>
        <v>OK</v>
      </c>
    </row>
    <row r="29" spans="1:33" ht="12.75" customHeight="1">
      <c r="A29" s="519"/>
      <c r="B29" s="349"/>
      <c r="C29" s="523"/>
      <c r="D29" s="526"/>
      <c r="E29" s="361">
        <f>IF(M9="","",VLOOKUP(M9,'素データ'!$Z$21:$AA$23,2,FALSE))</f>
      </c>
      <c r="F29" s="362">
        <f aca="true" t="shared" si="8" ref="F29:F37">P9</f>
      </c>
      <c r="G29" s="362">
        <f aca="true" t="shared" si="9" ref="G29:G37">IF(E29="","","－")</f>
      </c>
      <c r="H29" s="363">
        <f aca="true" t="shared" si="10" ref="H29:H37">N9</f>
      </c>
      <c r="I29" s="361">
        <f>IF(M19="","",VLOOKUP(M19,'素データ'!$Z$21:$AA$23,2,FALSE))</f>
      </c>
      <c r="J29" s="362">
        <f aca="true" t="shared" si="11" ref="J29:J37">P19</f>
      </c>
      <c r="K29" s="362">
        <f aca="true" t="shared" si="12" ref="K29:K37">IF(I29="","","－")</f>
      </c>
      <c r="L29" s="363">
        <f aca="true" t="shared" si="13" ref="L29:L37">N19</f>
      </c>
      <c r="M29" s="512"/>
      <c r="N29" s="513"/>
      <c r="O29" s="513"/>
      <c r="P29" s="514"/>
      <c r="Q29" s="355" t="str">
        <f>IF(ISNA(VLOOKUP("CD2",'素データ'!$P:$R,3,FALSE)),"",VLOOKUP("CD2",'素データ'!$P:$R,3,FALSE))</f>
        <v>○</v>
      </c>
      <c r="R29" s="355">
        <f>IF(ISNA(VLOOKUP("CD2",'素データ'!$P:$T,4,FALSE)),"",VLOOKUP("CD2",'素データ'!$P:$T,4,FALSE))</f>
        <v>13</v>
      </c>
      <c r="S29" s="355" t="str">
        <f t="shared" si="7"/>
        <v>－</v>
      </c>
      <c r="T29" s="355">
        <f>IF(ISNA(VLOOKUP("CD2",'素データ'!$P:$T,5,FALSE)),"",VLOOKUP("CD2",'素データ'!$P:$T,5,FALSE))</f>
        <v>4</v>
      </c>
      <c r="U29" s="492"/>
      <c r="V29" s="493"/>
      <c r="W29" s="493"/>
      <c r="X29" s="493"/>
      <c r="Y29" s="532"/>
      <c r="Z29" s="529"/>
      <c r="AA29" s="529"/>
      <c r="AB29" s="533"/>
      <c r="AC29" s="354"/>
      <c r="AD29" s="176"/>
      <c r="AE29" s="480"/>
      <c r="AF29" s="481"/>
      <c r="AG29" s="482"/>
    </row>
    <row r="30" spans="1:33" ht="12.75" customHeight="1">
      <c r="A30" s="519"/>
      <c r="B30" s="349"/>
      <c r="C30" s="523"/>
      <c r="D30" s="526"/>
      <c r="E30" s="361">
        <f>IF(M10="","",VLOOKUP(M10,'素データ'!$Z$21:$AA$23,2,FALSE))</f>
      </c>
      <c r="F30" s="362">
        <f t="shared" si="8"/>
      </c>
      <c r="G30" s="362">
        <f t="shared" si="9"/>
      </c>
      <c r="H30" s="363">
        <f t="shared" si="10"/>
      </c>
      <c r="I30" s="361">
        <f>IF(M20="","",VLOOKUP(M20,'素データ'!$Z$21:$AA$23,2,FALSE))</f>
      </c>
      <c r="J30" s="362">
        <f t="shared" si="11"/>
      </c>
      <c r="K30" s="362">
        <f t="shared" si="12"/>
      </c>
      <c r="L30" s="363">
        <f t="shared" si="13"/>
      </c>
      <c r="M30" s="512"/>
      <c r="N30" s="513"/>
      <c r="O30" s="513"/>
      <c r="P30" s="514"/>
      <c r="Q30" s="355">
        <f>IF(ISNA(VLOOKUP("CD3",'素データ'!$P:$R,3,FALSE)),"",VLOOKUP("CD3",'素データ'!$P:$R,3,FALSE))</f>
      </c>
      <c r="R30" s="355">
        <f>IF(ISNA(VLOOKUP("CD3",'素データ'!$P:$T,4,FALSE)),"",VLOOKUP("CD3",'素データ'!$P:$T,4,FALSE))</f>
      </c>
      <c r="S30" s="355">
        <f t="shared" si="7"/>
      </c>
      <c r="T30" s="355">
        <f>IF(ISNA(VLOOKUP("CD3",'素データ'!$P:$T,5,FALSE)),"",VLOOKUP("CD3",'素データ'!$P:$T,5,FALSE))</f>
      </c>
      <c r="U30" s="492"/>
      <c r="V30" s="493"/>
      <c r="W30" s="493"/>
      <c r="X30" s="493"/>
      <c r="Y30" s="532"/>
      <c r="Z30" s="529"/>
      <c r="AA30" s="529"/>
      <c r="AB30" s="533"/>
      <c r="AC30" s="354"/>
      <c r="AD30" s="176"/>
      <c r="AE30" s="480"/>
      <c r="AF30" s="481"/>
      <c r="AG30" s="482"/>
    </row>
    <row r="31" spans="1:33" ht="12.75" customHeight="1">
      <c r="A31" s="519"/>
      <c r="B31" s="349"/>
      <c r="C31" s="523"/>
      <c r="D31" s="526"/>
      <c r="E31" s="361">
        <f>IF(M11="","",VLOOKUP(M11,'素データ'!$Z$21:$AA$23,2,FALSE))</f>
      </c>
      <c r="F31" s="362">
        <f t="shared" si="8"/>
      </c>
      <c r="G31" s="362">
        <f t="shared" si="9"/>
      </c>
      <c r="H31" s="363">
        <f t="shared" si="10"/>
      </c>
      <c r="I31" s="361">
        <f>IF(M21="","",VLOOKUP(M21,'素データ'!$Z$21:$AA$23,2,FALSE))</f>
      </c>
      <c r="J31" s="362">
        <f t="shared" si="11"/>
      </c>
      <c r="K31" s="362">
        <f t="shared" si="12"/>
      </c>
      <c r="L31" s="363">
        <f t="shared" si="13"/>
      </c>
      <c r="M31" s="512"/>
      <c r="N31" s="513"/>
      <c r="O31" s="513"/>
      <c r="P31" s="514"/>
      <c r="Q31" s="355">
        <f>IF(ISNA(VLOOKUP("CD4",'素データ'!$P:$R,3,FALSE)),"",VLOOKUP("CD4",'素データ'!$P:$R,3,FALSE))</f>
      </c>
      <c r="R31" s="355">
        <f>IF(ISNA(VLOOKUP("CD4",'素データ'!$P:$T,4,FALSE)),"",VLOOKUP("CD4",'素データ'!$P:$T,4,FALSE))</f>
      </c>
      <c r="S31" s="355">
        <f t="shared" si="7"/>
      </c>
      <c r="T31" s="355">
        <f>IF(ISNA(VLOOKUP("CD4",'素データ'!$P:$T,5,FALSE)),"",VLOOKUP("CD4",'素データ'!$P:$T,5,FALSE))</f>
      </c>
      <c r="U31" s="492"/>
      <c r="V31" s="493"/>
      <c r="W31" s="493"/>
      <c r="X31" s="493"/>
      <c r="Y31" s="532"/>
      <c r="Z31" s="529"/>
      <c r="AA31" s="529"/>
      <c r="AB31" s="533"/>
      <c r="AC31" s="354"/>
      <c r="AD31" s="176"/>
      <c r="AE31" s="480"/>
      <c r="AF31" s="481"/>
      <c r="AG31" s="482"/>
    </row>
    <row r="32" spans="1:33" ht="12.75" customHeight="1">
      <c r="A32" s="519"/>
      <c r="B32" s="349"/>
      <c r="C32" s="523"/>
      <c r="D32" s="526"/>
      <c r="E32" s="361">
        <f>IF(M12="","",VLOOKUP(M12,'素データ'!$Z$21:$AA$23,2,FALSE))</f>
      </c>
      <c r="F32" s="362">
        <f t="shared" si="8"/>
      </c>
      <c r="G32" s="362">
        <f t="shared" si="9"/>
      </c>
      <c r="H32" s="363">
        <f t="shared" si="10"/>
      </c>
      <c r="I32" s="361">
        <f>IF(M22="","",VLOOKUP(M22,'素データ'!$Z$21:$AA$23,2,FALSE))</f>
      </c>
      <c r="J32" s="362">
        <f t="shared" si="11"/>
      </c>
      <c r="K32" s="362">
        <f t="shared" si="12"/>
      </c>
      <c r="L32" s="363">
        <f t="shared" si="13"/>
      </c>
      <c r="M32" s="512"/>
      <c r="N32" s="513"/>
      <c r="O32" s="513"/>
      <c r="P32" s="514"/>
      <c r="Q32" s="355">
        <f>IF(ISNA(VLOOKUP("CD5",'素データ'!$P:$R,3,FALSE)),"",VLOOKUP("CD5",'素データ'!$P:$R,3,FALSE))</f>
      </c>
      <c r="R32" s="355">
        <f>IF(ISNA(VLOOKUP("CD5",'素データ'!$P:$T,4,FALSE)),"",VLOOKUP("CD5",'素データ'!$P:$T,4,FALSE))</f>
      </c>
      <c r="S32" s="355">
        <f t="shared" si="7"/>
      </c>
      <c r="T32" s="355">
        <f>IF(ISNA(VLOOKUP("CD5",'素データ'!$P:$T,5,FALSE)),"",VLOOKUP("CD5",'素データ'!$P:$T,5,FALSE))</f>
      </c>
      <c r="U32" s="492"/>
      <c r="V32" s="493"/>
      <c r="W32" s="493"/>
      <c r="X32" s="493"/>
      <c r="Y32" s="532"/>
      <c r="Z32" s="529"/>
      <c r="AA32" s="529"/>
      <c r="AB32" s="533"/>
      <c r="AC32" s="354"/>
      <c r="AD32" s="176"/>
      <c r="AE32" s="480"/>
      <c r="AF32" s="481"/>
      <c r="AG32" s="482"/>
    </row>
    <row r="33" spans="1:33" ht="12.75" customHeight="1">
      <c r="A33" s="519"/>
      <c r="B33" s="349"/>
      <c r="C33" s="523"/>
      <c r="D33" s="526"/>
      <c r="E33" s="361">
        <f>IF(M13="","",VLOOKUP(M13,'素データ'!$Z$21:$AA$23,2,FALSE))</f>
      </c>
      <c r="F33" s="362">
        <f t="shared" si="8"/>
      </c>
      <c r="G33" s="362">
        <f t="shared" si="9"/>
      </c>
      <c r="H33" s="363">
        <f t="shared" si="10"/>
      </c>
      <c r="I33" s="361">
        <f>IF(M23="","",VLOOKUP(M23,'素データ'!$Z$21:$AA$23,2,FALSE))</f>
      </c>
      <c r="J33" s="362">
        <f t="shared" si="11"/>
      </c>
      <c r="K33" s="362">
        <f t="shared" si="12"/>
      </c>
      <c r="L33" s="363">
        <f t="shared" si="13"/>
      </c>
      <c r="M33" s="512"/>
      <c r="N33" s="513"/>
      <c r="O33" s="513"/>
      <c r="P33" s="514"/>
      <c r="Q33" s="355">
        <f>IF(ISNA(VLOOKUP("CD6",'素データ'!$P:$R,3,FALSE)),"",VLOOKUP("CD6",'素データ'!$P:$R,3,FALSE))</f>
      </c>
      <c r="R33" s="355">
        <f>IF(ISNA(VLOOKUP("CD6",'素データ'!$P:$T,4,FALSE)),"",VLOOKUP("CD6",'素データ'!$P:$T,4,FALSE))</f>
      </c>
      <c r="S33" s="355">
        <f t="shared" si="7"/>
      </c>
      <c r="T33" s="355">
        <f>IF(ISNA(VLOOKUP("CD6",'素データ'!$P:$T,5,FALSE)),"",VLOOKUP("CD6",'素データ'!$P:$T,5,FALSE))</f>
      </c>
      <c r="U33" s="492"/>
      <c r="V33" s="493"/>
      <c r="W33" s="493"/>
      <c r="X33" s="493"/>
      <c r="Y33" s="532"/>
      <c r="Z33" s="529"/>
      <c r="AA33" s="529"/>
      <c r="AB33" s="533"/>
      <c r="AC33" s="354"/>
      <c r="AD33" s="176"/>
      <c r="AE33" s="480"/>
      <c r="AF33" s="481"/>
      <c r="AG33" s="482"/>
    </row>
    <row r="34" spans="1:33" ht="12.75" customHeight="1">
      <c r="A34" s="519"/>
      <c r="B34" s="349"/>
      <c r="C34" s="523"/>
      <c r="D34" s="526"/>
      <c r="E34" s="361">
        <f>IF(M14="","",VLOOKUP(M14,'素データ'!$Z$21:$AA$23,2,FALSE))</f>
      </c>
      <c r="F34" s="362">
        <f t="shared" si="8"/>
      </c>
      <c r="G34" s="362">
        <f t="shared" si="9"/>
      </c>
      <c r="H34" s="363">
        <f t="shared" si="10"/>
      </c>
      <c r="I34" s="361">
        <f>IF(M24="","",VLOOKUP(M24,'素データ'!$Z$21:$AA$23,2,FALSE))</f>
      </c>
      <c r="J34" s="362">
        <f t="shared" si="11"/>
      </c>
      <c r="K34" s="362">
        <f t="shared" si="12"/>
      </c>
      <c r="L34" s="363">
        <f t="shared" si="13"/>
      </c>
      <c r="M34" s="512"/>
      <c r="N34" s="513"/>
      <c r="O34" s="513"/>
      <c r="P34" s="514"/>
      <c r="Q34" s="355">
        <f>IF(ISNA(VLOOKUP("CD7",'素データ'!$P:$R,3,FALSE)),"",VLOOKUP("CD7",'素データ'!$P:$R,3,FALSE))</f>
      </c>
      <c r="R34" s="355">
        <f>IF(ISNA(VLOOKUP("CD7",'素データ'!$P:$T,4,FALSE)),"",VLOOKUP("CD7",'素データ'!$P:$T,4,FALSE))</f>
      </c>
      <c r="S34" s="355">
        <f>IF(Q34="","","－")</f>
      </c>
      <c r="T34" s="355">
        <f>IF(ISNA(VLOOKUP("CD7",'素データ'!$P:$T,5,FALSE)),"",VLOOKUP("CD7",'素データ'!$P:$T,5,FALSE))</f>
      </c>
      <c r="U34" s="492"/>
      <c r="V34" s="493"/>
      <c r="W34" s="493"/>
      <c r="X34" s="493"/>
      <c r="Y34" s="532"/>
      <c r="Z34" s="529"/>
      <c r="AA34" s="529"/>
      <c r="AB34" s="533"/>
      <c r="AC34" s="354"/>
      <c r="AD34" s="176"/>
      <c r="AE34" s="480"/>
      <c r="AF34" s="481"/>
      <c r="AG34" s="482"/>
    </row>
    <row r="35" spans="1:33" ht="12.75" customHeight="1" hidden="1">
      <c r="A35" s="519"/>
      <c r="B35" s="349"/>
      <c r="C35" s="523"/>
      <c r="D35" s="526"/>
      <c r="E35" s="361">
        <f>IF(M15="","",VLOOKUP(M15,'素データ'!$Z$21:$AA$23,2,FALSE))</f>
      </c>
      <c r="F35" s="362">
        <f t="shared" si="8"/>
      </c>
      <c r="G35" s="362">
        <f t="shared" si="9"/>
      </c>
      <c r="H35" s="363">
        <f t="shared" si="10"/>
      </c>
      <c r="I35" s="361">
        <f>IF(M25="","",VLOOKUP(M25,'素データ'!$Z$21:$AA$23,2,FALSE))</f>
      </c>
      <c r="J35" s="362">
        <f t="shared" si="11"/>
      </c>
      <c r="K35" s="362">
        <f t="shared" si="12"/>
      </c>
      <c r="L35" s="363">
        <f t="shared" si="13"/>
      </c>
      <c r="M35" s="512"/>
      <c r="N35" s="513"/>
      <c r="O35" s="513"/>
      <c r="P35" s="514"/>
      <c r="Q35" s="355">
        <f>IF(ISNA(VLOOKUP("CD8",'素データ'!$P:$R,3,FALSE)),"",VLOOKUP("CD8",'素データ'!$P:$R,3,FALSE))</f>
      </c>
      <c r="R35" s="355">
        <f>IF(ISNA(VLOOKUP("CD8",'素データ'!$P:$T,4,FALSE)),"",VLOOKUP("CD8",'素データ'!$P:$T,4,FALSE))</f>
      </c>
      <c r="S35" s="355">
        <f>IF(Q35="","","－")</f>
      </c>
      <c r="T35" s="355">
        <f>IF(ISNA(VLOOKUP("CD8",'素データ'!$P:$T,5,FALSE)),"",VLOOKUP("CD8",'素データ'!$P:$T,5,FALSE))</f>
      </c>
      <c r="U35" s="492"/>
      <c r="V35" s="493"/>
      <c r="W35" s="493"/>
      <c r="X35" s="493"/>
      <c r="Y35" s="532"/>
      <c r="Z35" s="529"/>
      <c r="AA35" s="529"/>
      <c r="AB35" s="533"/>
      <c r="AC35" s="354"/>
      <c r="AD35" s="176"/>
      <c r="AE35" s="480"/>
      <c r="AF35" s="481"/>
      <c r="AG35" s="482"/>
    </row>
    <row r="36" spans="1:33" ht="12.75" customHeight="1" hidden="1">
      <c r="A36" s="519"/>
      <c r="B36" s="349"/>
      <c r="C36" s="523"/>
      <c r="D36" s="526"/>
      <c r="E36" s="361">
        <f>IF(M16="","",VLOOKUP(M16,'素データ'!$Z$21:$AA$23,2,FALSE))</f>
      </c>
      <c r="F36" s="362">
        <f t="shared" si="8"/>
      </c>
      <c r="G36" s="362">
        <f t="shared" si="9"/>
      </c>
      <c r="H36" s="363">
        <f t="shared" si="10"/>
      </c>
      <c r="I36" s="361">
        <f>IF(M26="","",VLOOKUP(M26,'素データ'!$Z$21:$AA$23,2,FALSE))</f>
      </c>
      <c r="J36" s="362">
        <f t="shared" si="11"/>
      </c>
      <c r="K36" s="362">
        <f t="shared" si="12"/>
      </c>
      <c r="L36" s="363">
        <f t="shared" si="13"/>
      </c>
      <c r="M36" s="512"/>
      <c r="N36" s="513"/>
      <c r="O36" s="513"/>
      <c r="P36" s="514"/>
      <c r="Q36" s="355">
        <f>IF(ISNA(VLOOKUP("CD9",'素データ'!$P:$R,3,FALSE)),"",VLOOKUP("CD9",'素データ'!$P:$R,3,FALSE))</f>
      </c>
      <c r="R36" s="355">
        <f>IF(ISNA(VLOOKUP("CD9",'素データ'!$P:$T,4,FALSE)),"",VLOOKUP("CD9",'素データ'!$P:$T,4,FALSE))</f>
      </c>
      <c r="S36" s="355">
        <f>IF(Q36="","","－")</f>
      </c>
      <c r="T36" s="355">
        <f>IF(ISNA(VLOOKUP("CD9",'素データ'!$P:$T,5,FALSE)),"",VLOOKUP("CD9",'素データ'!$P:$T,5,FALSE))</f>
      </c>
      <c r="U36" s="492"/>
      <c r="V36" s="493"/>
      <c r="W36" s="493"/>
      <c r="X36" s="493"/>
      <c r="Y36" s="532"/>
      <c r="Z36" s="529"/>
      <c r="AA36" s="529"/>
      <c r="AB36" s="533"/>
      <c r="AC36" s="354"/>
      <c r="AD36" s="176"/>
      <c r="AE36" s="480"/>
      <c r="AF36" s="481"/>
      <c r="AG36" s="482"/>
    </row>
    <row r="37" spans="1:33" ht="12.75" customHeight="1" thickBot="1">
      <c r="A37" s="520"/>
      <c r="B37" s="349"/>
      <c r="C37" s="524"/>
      <c r="D37" s="527"/>
      <c r="E37" s="361">
        <f>IF(M17="","",VLOOKUP(M17,'素データ'!$Z$21:$AA$23,2,FALSE))</f>
      </c>
      <c r="F37" s="362">
        <f t="shared" si="8"/>
      </c>
      <c r="G37" s="362">
        <f t="shared" si="9"/>
      </c>
      <c r="H37" s="363">
        <f t="shared" si="10"/>
      </c>
      <c r="I37" s="361">
        <f>IF(M27="","",VLOOKUP(M27,'素データ'!$Z$21:$AA$23,2,FALSE))</f>
      </c>
      <c r="J37" s="362">
        <f t="shared" si="11"/>
      </c>
      <c r="K37" s="362">
        <f t="shared" si="12"/>
      </c>
      <c r="L37" s="363">
        <f t="shared" si="13"/>
      </c>
      <c r="M37" s="515"/>
      <c r="N37" s="516"/>
      <c r="O37" s="516"/>
      <c r="P37" s="517"/>
      <c r="Q37" s="355">
        <f>IF(ISNA(VLOOKUP("CD10",'素データ'!$P:$R,3,FALSE)),"",VLOOKUP("CD10",'素データ'!$P:$R,3,FALSE))</f>
      </c>
      <c r="R37" s="355">
        <f>IF(ISNA(VLOOKUP("CD10",'素データ'!$P:$T,4,FALSE)),"",VLOOKUP("CD10",'素データ'!$P:$T,4,FALSE))</f>
      </c>
      <c r="S37" s="355">
        <f>IF(Q37="","","－")</f>
      </c>
      <c r="T37" s="355">
        <f>IF(ISNA(VLOOKUP("CD10",'素データ'!$P:$T,5,FALSE)),"",VLOOKUP("CD10",'素データ'!$P:$T,5,FALSE))</f>
      </c>
      <c r="U37" s="492"/>
      <c r="V37" s="493"/>
      <c r="W37" s="493"/>
      <c r="X37" s="493"/>
      <c r="Y37" s="532"/>
      <c r="Z37" s="529"/>
      <c r="AA37" s="529"/>
      <c r="AB37" s="533"/>
      <c r="AC37" s="354"/>
      <c r="AD37" s="176"/>
      <c r="AE37" s="480"/>
      <c r="AF37" s="481"/>
      <c r="AG37" s="482"/>
    </row>
    <row r="38" spans="1:33" ht="12.75" customHeight="1">
      <c r="A38" s="521">
        <f>Y38+(V38-W38)/100000+0.000005</f>
        <v>0.750025</v>
      </c>
      <c r="B38" s="349"/>
      <c r="C38" s="522" t="str">
        <f>'素データ'!Y10</f>
        <v>D</v>
      </c>
      <c r="D38" s="525" t="str">
        <f>VLOOKUP(C38,'素データ'!$Y$7:$Z$14,2,FALSE)</f>
        <v>サンデーズＪｒ</v>
      </c>
      <c r="E38" s="358" t="str">
        <f>IF(Q8="","",VLOOKUP(Q8,'素データ'!$Z$21:$AA$23,2,FALSE))</f>
        <v>○</v>
      </c>
      <c r="F38" s="359">
        <f>T8</f>
        <v>10</v>
      </c>
      <c r="G38" s="359" t="str">
        <f>IF(E38="","","－")</f>
        <v>－</v>
      </c>
      <c r="H38" s="360">
        <f>R8</f>
        <v>7</v>
      </c>
      <c r="I38" s="359" t="str">
        <f>IF(Q18="","",VLOOKUP(Q18,'素データ'!$Z$21:$AA$23,2,FALSE))</f>
        <v>○</v>
      </c>
      <c r="J38" s="359">
        <f>T18</f>
        <v>15</v>
      </c>
      <c r="K38" s="359" t="str">
        <f>IF(I38="","","－")</f>
        <v>－</v>
      </c>
      <c r="L38" s="359">
        <f>R18</f>
        <v>3</v>
      </c>
      <c r="M38" s="358" t="str">
        <f>IF(Q28="","",VLOOKUP(Q28,'素データ'!$Z$21:$AA$23,2,FALSE))</f>
        <v>○</v>
      </c>
      <c r="N38" s="359">
        <f>T28</f>
        <v>10</v>
      </c>
      <c r="O38" s="359" t="str">
        <f>IF(M38="","","－")</f>
        <v>－</v>
      </c>
      <c r="P38" s="360">
        <f>R28</f>
        <v>4</v>
      </c>
      <c r="Q38" s="509" t="s">
        <v>448</v>
      </c>
      <c r="R38" s="510"/>
      <c r="S38" s="510"/>
      <c r="T38" s="510"/>
      <c r="U38" s="492">
        <f>SUM(V38:X38)</f>
        <v>4</v>
      </c>
      <c r="V38" s="493">
        <f>COUNTIF(E38:T47,"○")</f>
        <v>3</v>
      </c>
      <c r="W38" s="493">
        <f>COUNTIF(E38:T47,"●")</f>
        <v>1</v>
      </c>
      <c r="X38" s="493">
        <f>COUNTIF(E38:T47,"△")</f>
        <v>0</v>
      </c>
      <c r="Y38" s="532">
        <f>ROUND(V38/(V38+W38),3)</f>
        <v>0.75</v>
      </c>
      <c r="Z38" s="529">
        <f>SUM(F38:F47)+SUM(J38:J47)+SUM(N38:N47)</f>
        <v>39</v>
      </c>
      <c r="AA38" s="529">
        <f>SUM(H38:H47)+SUM(L38:L47)+SUM(P38:P47)</f>
        <v>27</v>
      </c>
      <c r="AB38" s="533">
        <f>RANK(Y38,$Y$8:$Y$43,0)</f>
        <v>1</v>
      </c>
      <c r="AC38" s="354"/>
      <c r="AD38" s="176"/>
      <c r="AE38" s="480" t="str">
        <f>IF(V38=((DCOUNTA('素データ'!$F$5:$L$36,"試合結果",criteria!B37:H38))+(DCOUNTA('素データ'!$F$5:$L$36,"試合結果",criteria!B39:H40))),"OK","NG")</f>
        <v>OK</v>
      </c>
      <c r="AF38" s="481" t="str">
        <f>IF(W38=((DCOUNTA('素データ'!$F$5:$L$36,"試合結果",criteria!B41:H42))+(DCOUNTA('素データ'!$F$5:$L$36,"試合結果",criteria!B43:H44))),"OK","NG")</f>
        <v>OK</v>
      </c>
      <c r="AG38" s="482" t="str">
        <f>IF(X38=((DCOUNTA('素データ'!$F$5:$L$36,"試合結果",criteria!B45:H46))+(DCOUNTA('素データ'!$F$5:$L$36,"試合結果",criteria!B47:H48))),"OK","NG")</f>
        <v>OK</v>
      </c>
    </row>
    <row r="39" spans="1:33" ht="12.75" customHeight="1">
      <c r="A39" s="521"/>
      <c r="B39" s="349"/>
      <c r="C39" s="523"/>
      <c r="D39" s="526"/>
      <c r="E39" s="361">
        <f>IF(Q9="","",VLOOKUP(Q9,'素データ'!$Z$21:$AA$23,2,FALSE))</f>
      </c>
      <c r="F39" s="362">
        <f aca="true" t="shared" si="14" ref="F39:F47">T9</f>
      </c>
      <c r="G39" s="362">
        <f aca="true" t="shared" si="15" ref="G39:G47">IF(E39="","","－")</f>
      </c>
      <c r="H39" s="363">
        <f aca="true" t="shared" si="16" ref="H39:H47">R9</f>
      </c>
      <c r="I39" s="362">
        <f>IF(Q19="","",VLOOKUP(Q19,'素データ'!$Z$21:$AA$23,2,FALSE))</f>
      </c>
      <c r="J39" s="362">
        <f aca="true" t="shared" si="17" ref="J39:J47">T19</f>
      </c>
      <c r="K39" s="362">
        <f aca="true" t="shared" si="18" ref="K39:K47">IF(I39="","","－")</f>
      </c>
      <c r="L39" s="362">
        <f aca="true" t="shared" si="19" ref="L39:L47">R19</f>
      </c>
      <c r="M39" s="361" t="str">
        <f>IF(Q29="","",VLOOKUP(Q29,'素データ'!$Z$21:$AA$23,2,FALSE))</f>
        <v>●</v>
      </c>
      <c r="N39" s="362">
        <f aca="true" t="shared" si="20" ref="N39:N47">T29</f>
        <v>4</v>
      </c>
      <c r="O39" s="362" t="str">
        <f aca="true" t="shared" si="21" ref="O39:O47">IF(M39="","","－")</f>
        <v>－</v>
      </c>
      <c r="P39" s="363">
        <f aca="true" t="shared" si="22" ref="P39:P47">R29</f>
        <v>13</v>
      </c>
      <c r="Q39" s="512"/>
      <c r="R39" s="513"/>
      <c r="S39" s="513"/>
      <c r="T39" s="513"/>
      <c r="U39" s="492"/>
      <c r="V39" s="493"/>
      <c r="W39" s="493"/>
      <c r="X39" s="493"/>
      <c r="Y39" s="532"/>
      <c r="Z39" s="529"/>
      <c r="AA39" s="529"/>
      <c r="AB39" s="533"/>
      <c r="AC39" s="354"/>
      <c r="AD39" s="176"/>
      <c r="AE39" s="480"/>
      <c r="AF39" s="481"/>
      <c r="AG39" s="482"/>
    </row>
    <row r="40" spans="1:33" ht="12.75" customHeight="1">
      <c r="A40" s="521"/>
      <c r="B40" s="349"/>
      <c r="C40" s="523"/>
      <c r="D40" s="526"/>
      <c r="E40" s="361">
        <f>IF(Q10="","",VLOOKUP(Q10,'素データ'!$Z$21:$AA$23,2,FALSE))</f>
      </c>
      <c r="F40" s="362">
        <f t="shared" si="14"/>
      </c>
      <c r="G40" s="362">
        <f t="shared" si="15"/>
      </c>
      <c r="H40" s="363">
        <f t="shared" si="16"/>
      </c>
      <c r="I40" s="362">
        <f>IF(Q20="","",VLOOKUP(Q20,'素データ'!$Z$21:$AA$23,2,FALSE))</f>
      </c>
      <c r="J40" s="362">
        <f t="shared" si="17"/>
      </c>
      <c r="K40" s="362">
        <f t="shared" si="18"/>
      </c>
      <c r="L40" s="362">
        <f t="shared" si="19"/>
      </c>
      <c r="M40" s="361">
        <f>IF(Q30="","",VLOOKUP(Q30,'素データ'!$Z$21:$AA$23,2,FALSE))</f>
      </c>
      <c r="N40" s="362">
        <f t="shared" si="20"/>
      </c>
      <c r="O40" s="362">
        <f t="shared" si="21"/>
      </c>
      <c r="P40" s="363">
        <f t="shared" si="22"/>
      </c>
      <c r="Q40" s="512"/>
      <c r="R40" s="513"/>
      <c r="S40" s="513"/>
      <c r="T40" s="513"/>
      <c r="U40" s="492"/>
      <c r="V40" s="493"/>
      <c r="W40" s="493"/>
      <c r="X40" s="493"/>
      <c r="Y40" s="532"/>
      <c r="Z40" s="529"/>
      <c r="AA40" s="529"/>
      <c r="AB40" s="533"/>
      <c r="AC40" s="354"/>
      <c r="AD40" s="176"/>
      <c r="AE40" s="480"/>
      <c r="AF40" s="481"/>
      <c r="AG40" s="482"/>
    </row>
    <row r="41" spans="1:33" ht="12.75" customHeight="1">
      <c r="A41" s="521"/>
      <c r="B41" s="349"/>
      <c r="C41" s="523"/>
      <c r="D41" s="526"/>
      <c r="E41" s="361">
        <f>IF(Q11="","",VLOOKUP(Q11,'素データ'!$Z$21:$AA$23,2,FALSE))</f>
      </c>
      <c r="F41" s="362">
        <f t="shared" si="14"/>
      </c>
      <c r="G41" s="362">
        <f t="shared" si="15"/>
      </c>
      <c r="H41" s="363">
        <f t="shared" si="16"/>
      </c>
      <c r="I41" s="362">
        <f>IF(Q21="","",VLOOKUP(Q21,'素データ'!$Z$21:$AA$23,2,FALSE))</f>
      </c>
      <c r="J41" s="362">
        <f t="shared" si="17"/>
      </c>
      <c r="K41" s="362">
        <f t="shared" si="18"/>
      </c>
      <c r="L41" s="362">
        <f t="shared" si="19"/>
      </c>
      <c r="M41" s="361">
        <f>IF(Q31="","",VLOOKUP(Q31,'素データ'!$Z$21:$AA$23,2,FALSE))</f>
      </c>
      <c r="N41" s="362">
        <f t="shared" si="20"/>
      </c>
      <c r="O41" s="362">
        <f t="shared" si="21"/>
      </c>
      <c r="P41" s="363">
        <f t="shared" si="22"/>
      </c>
      <c r="Q41" s="512"/>
      <c r="R41" s="513"/>
      <c r="S41" s="513"/>
      <c r="T41" s="513"/>
      <c r="U41" s="492"/>
      <c r="V41" s="493"/>
      <c r="W41" s="493"/>
      <c r="X41" s="493"/>
      <c r="Y41" s="532"/>
      <c r="Z41" s="529"/>
      <c r="AA41" s="529"/>
      <c r="AB41" s="533"/>
      <c r="AC41" s="354"/>
      <c r="AD41" s="176"/>
      <c r="AE41" s="480"/>
      <c r="AF41" s="481"/>
      <c r="AG41" s="482"/>
    </row>
    <row r="42" spans="1:33" ht="12.75" customHeight="1">
      <c r="A42" s="521"/>
      <c r="B42" s="349"/>
      <c r="C42" s="523"/>
      <c r="D42" s="526"/>
      <c r="E42" s="361">
        <f>IF(Q12="","",VLOOKUP(Q12,'素データ'!$Z$21:$AA$23,2,FALSE))</f>
      </c>
      <c r="F42" s="362">
        <f t="shared" si="14"/>
      </c>
      <c r="G42" s="362">
        <f t="shared" si="15"/>
      </c>
      <c r="H42" s="363">
        <f t="shared" si="16"/>
      </c>
      <c r="I42" s="362">
        <f>IF(Q22="","",VLOOKUP(Q22,'素データ'!$Z$21:$AA$23,2,FALSE))</f>
      </c>
      <c r="J42" s="362">
        <f t="shared" si="17"/>
      </c>
      <c r="K42" s="362">
        <f t="shared" si="18"/>
      </c>
      <c r="L42" s="362">
        <f t="shared" si="19"/>
      </c>
      <c r="M42" s="361">
        <f>IF(Q32="","",VLOOKUP(Q32,'素データ'!$Z$21:$AA$23,2,FALSE))</f>
      </c>
      <c r="N42" s="362">
        <f t="shared" si="20"/>
      </c>
      <c r="O42" s="362">
        <f t="shared" si="21"/>
      </c>
      <c r="P42" s="363">
        <f t="shared" si="22"/>
      </c>
      <c r="Q42" s="512"/>
      <c r="R42" s="513"/>
      <c r="S42" s="513"/>
      <c r="T42" s="513"/>
      <c r="U42" s="492"/>
      <c r="V42" s="493"/>
      <c r="W42" s="493"/>
      <c r="X42" s="493"/>
      <c r="Y42" s="532"/>
      <c r="Z42" s="529"/>
      <c r="AA42" s="529"/>
      <c r="AB42" s="533"/>
      <c r="AC42" s="354"/>
      <c r="AD42" s="176"/>
      <c r="AE42" s="480"/>
      <c r="AF42" s="481"/>
      <c r="AG42" s="482"/>
    </row>
    <row r="43" spans="1:33" ht="12.75" customHeight="1">
      <c r="A43" s="521"/>
      <c r="B43" s="349"/>
      <c r="C43" s="523"/>
      <c r="D43" s="526"/>
      <c r="E43" s="361">
        <f>IF(Q13="","",VLOOKUP(Q13,'素データ'!$Z$21:$AA$23,2,FALSE))</f>
      </c>
      <c r="F43" s="362">
        <f t="shared" si="14"/>
      </c>
      <c r="G43" s="362">
        <f t="shared" si="15"/>
      </c>
      <c r="H43" s="363">
        <f t="shared" si="16"/>
      </c>
      <c r="I43" s="362">
        <f>IF(Q23="","",VLOOKUP(Q23,'素データ'!$Z$21:$AA$23,2,FALSE))</f>
      </c>
      <c r="J43" s="362">
        <f t="shared" si="17"/>
      </c>
      <c r="K43" s="362">
        <f t="shared" si="18"/>
      </c>
      <c r="L43" s="362">
        <f t="shared" si="19"/>
      </c>
      <c r="M43" s="361">
        <f>IF(Q33="","",VLOOKUP(Q33,'素データ'!$Z$21:$AA$23,2,FALSE))</f>
      </c>
      <c r="N43" s="362">
        <f t="shared" si="20"/>
      </c>
      <c r="O43" s="362">
        <f t="shared" si="21"/>
      </c>
      <c r="P43" s="363">
        <f t="shared" si="22"/>
      </c>
      <c r="Q43" s="512"/>
      <c r="R43" s="513"/>
      <c r="S43" s="513"/>
      <c r="T43" s="513"/>
      <c r="U43" s="492"/>
      <c r="V43" s="493"/>
      <c r="W43" s="493"/>
      <c r="X43" s="493"/>
      <c r="Y43" s="532"/>
      <c r="Z43" s="529"/>
      <c r="AA43" s="529"/>
      <c r="AB43" s="533"/>
      <c r="AC43" s="354"/>
      <c r="AD43" s="176"/>
      <c r="AE43" s="480"/>
      <c r="AF43" s="481"/>
      <c r="AG43" s="482"/>
    </row>
    <row r="44" spans="1:33" ht="12.75" customHeight="1">
      <c r="A44" s="521"/>
      <c r="B44" s="349"/>
      <c r="C44" s="523"/>
      <c r="D44" s="526"/>
      <c r="E44" s="361">
        <f>IF(Q14="","",VLOOKUP(Q14,'素データ'!$Z$21:$AA$23,2,FALSE))</f>
      </c>
      <c r="F44" s="362">
        <f t="shared" si="14"/>
      </c>
      <c r="G44" s="362">
        <f t="shared" si="15"/>
      </c>
      <c r="H44" s="363">
        <f t="shared" si="16"/>
      </c>
      <c r="I44" s="362">
        <f>IF(Q24="","",VLOOKUP(Q24,'素データ'!$Z$21:$AA$23,2,FALSE))</f>
      </c>
      <c r="J44" s="362">
        <f t="shared" si="17"/>
      </c>
      <c r="K44" s="362">
        <f t="shared" si="18"/>
      </c>
      <c r="L44" s="362">
        <f t="shared" si="19"/>
      </c>
      <c r="M44" s="361">
        <f>IF(Q34="","",VLOOKUP(Q34,'素データ'!$Z$21:$AA$23,2,FALSE))</f>
      </c>
      <c r="N44" s="362">
        <f t="shared" si="20"/>
      </c>
      <c r="O44" s="362">
        <f t="shared" si="21"/>
      </c>
      <c r="P44" s="363">
        <f t="shared" si="22"/>
      </c>
      <c r="Q44" s="512"/>
      <c r="R44" s="513"/>
      <c r="S44" s="513"/>
      <c r="T44" s="513"/>
      <c r="U44" s="492"/>
      <c r="V44" s="493"/>
      <c r="W44" s="493"/>
      <c r="X44" s="493"/>
      <c r="Y44" s="532"/>
      <c r="Z44" s="529"/>
      <c r="AA44" s="529"/>
      <c r="AB44" s="533"/>
      <c r="AC44" s="354"/>
      <c r="AD44" s="176"/>
      <c r="AE44" s="480"/>
      <c r="AF44" s="481"/>
      <c r="AG44" s="482"/>
    </row>
    <row r="45" spans="1:33" ht="12.75" customHeight="1" hidden="1">
      <c r="A45" s="521"/>
      <c r="B45" s="349"/>
      <c r="C45" s="523"/>
      <c r="D45" s="526"/>
      <c r="E45" s="361">
        <f>IF(Q15="","",VLOOKUP(Q15,'素データ'!$Z$21:$AA$23,2,FALSE))</f>
      </c>
      <c r="F45" s="362">
        <f t="shared" si="14"/>
      </c>
      <c r="G45" s="362">
        <f t="shared" si="15"/>
      </c>
      <c r="H45" s="363">
        <f t="shared" si="16"/>
      </c>
      <c r="I45" s="362">
        <f>IF(Q25="","",VLOOKUP(Q25,'素データ'!$Z$21:$AA$23,2,FALSE))</f>
      </c>
      <c r="J45" s="362">
        <f t="shared" si="17"/>
      </c>
      <c r="K45" s="362">
        <f t="shared" si="18"/>
      </c>
      <c r="L45" s="362">
        <f t="shared" si="19"/>
      </c>
      <c r="M45" s="361">
        <f>IF(Q35="","",VLOOKUP(Q35,'素データ'!$Z$21:$AA$23,2,FALSE))</f>
      </c>
      <c r="N45" s="362">
        <f t="shared" si="20"/>
      </c>
      <c r="O45" s="362">
        <f t="shared" si="21"/>
      </c>
      <c r="P45" s="363">
        <f t="shared" si="22"/>
      </c>
      <c r="Q45" s="512"/>
      <c r="R45" s="513"/>
      <c r="S45" s="513"/>
      <c r="T45" s="513"/>
      <c r="U45" s="492"/>
      <c r="V45" s="493"/>
      <c r="W45" s="493"/>
      <c r="X45" s="493"/>
      <c r="Y45" s="532"/>
      <c r="Z45" s="529"/>
      <c r="AA45" s="529"/>
      <c r="AB45" s="533"/>
      <c r="AC45" s="354"/>
      <c r="AD45" s="176"/>
      <c r="AE45" s="480"/>
      <c r="AF45" s="481"/>
      <c r="AG45" s="482"/>
    </row>
    <row r="46" spans="1:33" ht="12.75" customHeight="1" hidden="1">
      <c r="A46" s="521"/>
      <c r="B46" s="349"/>
      <c r="C46" s="523"/>
      <c r="D46" s="526"/>
      <c r="E46" s="361">
        <f>IF(Q16="","",VLOOKUP(Q16,'素データ'!$Z$21:$AA$23,2,FALSE))</f>
      </c>
      <c r="F46" s="362">
        <f t="shared" si="14"/>
      </c>
      <c r="G46" s="362">
        <f t="shared" si="15"/>
      </c>
      <c r="H46" s="363">
        <f t="shared" si="16"/>
      </c>
      <c r="I46" s="362">
        <f>IF(Q26="","",VLOOKUP(Q26,'素データ'!$Z$21:$AA$23,2,FALSE))</f>
      </c>
      <c r="J46" s="362">
        <f t="shared" si="17"/>
      </c>
      <c r="K46" s="362">
        <f t="shared" si="18"/>
      </c>
      <c r="L46" s="362">
        <f t="shared" si="19"/>
      </c>
      <c r="M46" s="361">
        <f>IF(Q36="","",VLOOKUP(Q36,'素データ'!$Z$21:$AA$23,2,FALSE))</f>
      </c>
      <c r="N46" s="362">
        <f t="shared" si="20"/>
      </c>
      <c r="O46" s="362">
        <f t="shared" si="21"/>
      </c>
      <c r="P46" s="363">
        <f t="shared" si="22"/>
      </c>
      <c r="Q46" s="512"/>
      <c r="R46" s="513"/>
      <c r="S46" s="513"/>
      <c r="T46" s="513"/>
      <c r="U46" s="492"/>
      <c r="V46" s="493"/>
      <c r="W46" s="493"/>
      <c r="X46" s="493"/>
      <c r="Y46" s="532"/>
      <c r="Z46" s="529"/>
      <c r="AA46" s="529"/>
      <c r="AB46" s="533"/>
      <c r="AC46" s="354"/>
      <c r="AD46" s="176"/>
      <c r="AE46" s="480"/>
      <c r="AF46" s="481"/>
      <c r="AG46" s="482"/>
    </row>
    <row r="47" spans="1:33" ht="12.75" customHeight="1" thickBot="1">
      <c r="A47" s="521"/>
      <c r="B47" s="349"/>
      <c r="C47" s="524"/>
      <c r="D47" s="527"/>
      <c r="E47" s="367">
        <f>IF(Q17="","",VLOOKUP(Q17,'素データ'!$Z$21:$AA$23,2,FALSE))</f>
      </c>
      <c r="F47" s="368">
        <f t="shared" si="14"/>
      </c>
      <c r="G47" s="368">
        <f t="shared" si="15"/>
      </c>
      <c r="H47" s="369">
        <f t="shared" si="16"/>
      </c>
      <c r="I47" s="368">
        <f>IF(Q27="","",VLOOKUP(Q27,'素データ'!$Z$21:$AA$23,2,FALSE))</f>
      </c>
      <c r="J47" s="368">
        <f t="shared" si="17"/>
      </c>
      <c r="K47" s="368">
        <f t="shared" si="18"/>
      </c>
      <c r="L47" s="368">
        <f t="shared" si="19"/>
      </c>
      <c r="M47" s="367">
        <f>IF(Q37="","",VLOOKUP(Q37,'素データ'!$Z$21:$AA$23,2,FALSE))</f>
      </c>
      <c r="N47" s="368">
        <f t="shared" si="20"/>
      </c>
      <c r="O47" s="368">
        <f t="shared" si="21"/>
      </c>
      <c r="P47" s="369">
        <f t="shared" si="22"/>
      </c>
      <c r="Q47" s="515"/>
      <c r="R47" s="516"/>
      <c r="S47" s="516"/>
      <c r="T47" s="516"/>
      <c r="U47" s="498"/>
      <c r="V47" s="537"/>
      <c r="W47" s="537"/>
      <c r="X47" s="537"/>
      <c r="Y47" s="538"/>
      <c r="Z47" s="535"/>
      <c r="AA47" s="535"/>
      <c r="AB47" s="536"/>
      <c r="AC47" s="354"/>
      <c r="AD47" s="176"/>
      <c r="AE47" s="528"/>
      <c r="AF47" s="490"/>
      <c r="AG47" s="497"/>
    </row>
    <row r="48" spans="1:44" ht="19.5" customHeight="1" thickBot="1">
      <c r="A48" s="370"/>
      <c r="B48" s="371"/>
      <c r="C48" s="297"/>
      <c r="D48" s="372"/>
      <c r="E48" s="297"/>
      <c r="F48" s="297"/>
      <c r="G48" s="297"/>
      <c r="H48" s="297"/>
      <c r="I48" s="297"/>
      <c r="J48" s="297"/>
      <c r="K48" s="297"/>
      <c r="L48" s="297"/>
      <c r="M48" s="297"/>
      <c r="N48" s="297"/>
      <c r="O48" s="297"/>
      <c r="P48" s="297"/>
      <c r="Q48" s="297"/>
      <c r="R48" s="297"/>
      <c r="S48" s="297"/>
      <c r="T48" s="297"/>
      <c r="U48" s="297"/>
      <c r="V48" s="297"/>
      <c r="W48" s="297"/>
      <c r="X48" s="297"/>
      <c r="Y48" s="373" t="s">
        <v>334</v>
      </c>
      <c r="Z48" s="374">
        <f>SUM(Z8:Z43)</f>
        <v>122</v>
      </c>
      <c r="AA48" s="374">
        <f>SUM(AA8:AA43)</f>
        <v>122</v>
      </c>
      <c r="AB48" s="375">
        <f>SUM(Z48:AA48)</f>
        <v>244</v>
      </c>
      <c r="AC48" s="376" t="s">
        <v>337</v>
      </c>
      <c r="AD48" s="349"/>
      <c r="AE48" s="382"/>
      <c r="AF48" s="382"/>
      <c r="AG48" s="382"/>
      <c r="AH48" s="349"/>
      <c r="AI48" s="349"/>
      <c r="AJ48" s="349"/>
      <c r="AK48" s="349"/>
      <c r="AL48" s="349"/>
      <c r="AM48" s="349"/>
      <c r="AN48" s="349"/>
      <c r="AO48" s="349"/>
      <c r="AP48" s="349"/>
      <c r="AQ48" s="349"/>
      <c r="AR48" s="349"/>
    </row>
    <row r="49" spans="1:44" ht="19.5" customHeight="1" thickBot="1">
      <c r="A49" s="378" t="s">
        <v>449</v>
      </c>
      <c r="B49" s="371"/>
      <c r="C49" s="297"/>
      <c r="D49" s="372"/>
      <c r="E49" s="297"/>
      <c r="F49" s="297"/>
      <c r="G49" s="297"/>
      <c r="H49" s="297"/>
      <c r="I49" s="297"/>
      <c r="J49" s="297"/>
      <c r="K49" s="297"/>
      <c r="L49" s="297"/>
      <c r="M49" s="297"/>
      <c r="N49" s="297"/>
      <c r="O49" s="297"/>
      <c r="P49" s="297"/>
      <c r="Q49" s="297"/>
      <c r="R49" s="297"/>
      <c r="S49" s="297"/>
      <c r="T49" s="297"/>
      <c r="U49" s="297"/>
      <c r="V49" s="297"/>
      <c r="W49" s="297"/>
      <c r="X49" s="297"/>
      <c r="Y49" s="379"/>
      <c r="Z49" s="377"/>
      <c r="AA49" s="377"/>
      <c r="AB49" s="370"/>
      <c r="AC49" s="376" t="s">
        <v>338</v>
      </c>
      <c r="AD49" s="349"/>
      <c r="AE49" s="382"/>
      <c r="AF49" s="382"/>
      <c r="AG49" s="382"/>
      <c r="AH49" s="349"/>
      <c r="AI49" s="349"/>
      <c r="AJ49" s="349"/>
      <c r="AK49" s="349"/>
      <c r="AL49" s="349"/>
      <c r="AM49" s="349"/>
      <c r="AN49" s="349"/>
      <c r="AO49" s="349"/>
      <c r="AP49" s="349"/>
      <c r="AQ49" s="349"/>
      <c r="AR49" s="349"/>
    </row>
    <row r="50" spans="1:44" ht="19.5" customHeight="1" thickBot="1">
      <c r="A50" s="337" t="s">
        <v>450</v>
      </c>
      <c r="B50" s="349" t="s">
        <v>264</v>
      </c>
      <c r="C50" s="349"/>
      <c r="D50" s="349"/>
      <c r="E50" s="349"/>
      <c r="F50" s="349"/>
      <c r="G50" s="349"/>
      <c r="H50" s="349"/>
      <c r="I50" s="349"/>
      <c r="J50" s="349"/>
      <c r="K50" s="349"/>
      <c r="L50" s="349"/>
      <c r="M50" s="349"/>
      <c r="N50" s="349"/>
      <c r="O50" s="349"/>
      <c r="P50" s="349"/>
      <c r="Q50" s="349"/>
      <c r="R50" s="349"/>
      <c r="S50" s="349"/>
      <c r="T50" s="349"/>
      <c r="U50" s="349"/>
      <c r="V50" s="349"/>
      <c r="W50" s="349"/>
      <c r="X50" s="349"/>
      <c r="Y50" s="337" t="s">
        <v>335</v>
      </c>
      <c r="Z50" s="380">
        <f>SUM('素データ'!S:S)</f>
        <v>65</v>
      </c>
      <c r="AA50" s="380">
        <f>SUM('素データ'!T:T)</f>
        <v>57</v>
      </c>
      <c r="AB50" s="381">
        <f>SUM(Z50:AA50)</f>
        <v>122</v>
      </c>
      <c r="AC50" s="370"/>
      <c r="AD50" s="349"/>
      <c r="AE50" s="382"/>
      <c r="AF50" s="382"/>
      <c r="AG50" s="383"/>
      <c r="AH50" s="349" t="s">
        <v>336</v>
      </c>
      <c r="AI50" s="349"/>
      <c r="AJ50" s="349"/>
      <c r="AK50" s="349"/>
      <c r="AL50" s="349"/>
      <c r="AM50" s="349"/>
      <c r="AN50" s="349"/>
      <c r="AO50" s="349"/>
      <c r="AP50" s="349"/>
      <c r="AQ50" s="349"/>
      <c r="AR50" s="349"/>
    </row>
    <row r="51" spans="1:29" ht="19.5" customHeight="1">
      <c r="A51" s="337" t="s">
        <v>451</v>
      </c>
      <c r="B51" s="349" t="s">
        <v>266</v>
      </c>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row>
    <row r="52" spans="1:40" s="3" customFormat="1" ht="19.5" customHeight="1">
      <c r="A52" s="337" t="s">
        <v>452</v>
      </c>
      <c r="B52" s="534" t="s">
        <v>268</v>
      </c>
      <c r="C52" s="534"/>
      <c r="D52" s="534"/>
      <c r="E52" s="534"/>
      <c r="F52" s="534"/>
      <c r="G52" s="534"/>
      <c r="H52" s="534"/>
      <c r="I52" s="534"/>
      <c r="J52" s="534"/>
      <c r="K52" s="534"/>
      <c r="L52" s="534"/>
      <c r="M52" s="534"/>
      <c r="N52" s="534"/>
      <c r="O52" s="534"/>
      <c r="P52" s="534"/>
      <c r="Q52" s="534"/>
      <c r="R52" s="534"/>
      <c r="S52" s="534"/>
      <c r="T52" s="534"/>
      <c r="U52" s="534"/>
      <c r="V52" s="534"/>
      <c r="W52" s="534"/>
      <c r="X52" s="2"/>
      <c r="Y52" s="2"/>
      <c r="Z52" s="2"/>
      <c r="AA52" s="2"/>
      <c r="AB52" s="2"/>
      <c r="AC52" s="349"/>
      <c r="AD52" s="2"/>
      <c r="AE52" s="2"/>
      <c r="AF52" s="2"/>
      <c r="AG52" s="2"/>
      <c r="AH52" s="2"/>
      <c r="AI52" s="2"/>
      <c r="AJ52" s="2"/>
      <c r="AK52" s="2"/>
      <c r="AL52" s="2"/>
      <c r="AM52" s="2"/>
      <c r="AN52" s="2"/>
    </row>
    <row r="53" spans="1:48" s="3" customFormat="1" ht="19.5" customHeight="1">
      <c r="A53" s="2"/>
      <c r="B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row>
    <row r="54" spans="1:50" s="3" customFormat="1" ht="19.5" customHeight="1">
      <c r="A54" s="2"/>
      <c r="B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s="3" customFormat="1" ht="19.5" customHeight="1">
      <c r="A55" s="2"/>
      <c r="B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ht="19.5" customHeight="1"/>
    <row r="57" ht="19.5" customHeight="1"/>
    <row r="58" ht="19.5" customHeight="1"/>
    <row r="59" ht="19.5" customHeight="1"/>
    <row r="60" ht="19.5" customHeight="1"/>
    <row r="61" spans="1:28" ht="19.5" customHeight="1">
      <c r="A61" s="39"/>
      <c r="B61" s="39"/>
      <c r="C61" s="42"/>
      <c r="D61" s="39"/>
      <c r="E61" s="39"/>
      <c r="F61" s="39"/>
      <c r="G61" s="39"/>
      <c r="H61" s="39"/>
      <c r="I61" s="39"/>
      <c r="J61" s="39"/>
      <c r="K61" s="39"/>
      <c r="L61" s="39"/>
      <c r="M61" s="39"/>
      <c r="N61" s="39"/>
      <c r="O61" s="39"/>
      <c r="P61" s="39"/>
      <c r="Q61" s="39"/>
      <c r="R61" s="39"/>
      <c r="S61" s="39"/>
      <c r="T61" s="39"/>
      <c r="U61" s="39"/>
      <c r="V61" s="39"/>
      <c r="W61" s="39"/>
      <c r="X61" s="39"/>
      <c r="Y61" s="39"/>
      <c r="Z61" s="39"/>
      <c r="AA61" s="39"/>
      <c r="AB61" s="39"/>
    </row>
    <row r="62" s="39" customFormat="1" ht="24.75" customHeight="1">
      <c r="C62" s="42"/>
    </row>
    <row r="63" s="39" customFormat="1" ht="24.75" customHeight="1">
      <c r="C63" s="42"/>
    </row>
    <row r="64" s="39" customFormat="1" ht="24.75" customHeight="1">
      <c r="C64" s="42"/>
    </row>
    <row r="65" spans="1:28" s="39" customFormat="1" ht="24.75" customHeight="1">
      <c r="A65" s="2"/>
      <c r="B65" s="2"/>
      <c r="C65" s="3"/>
      <c r="D65" s="2"/>
      <c r="E65" s="2"/>
      <c r="F65" s="2"/>
      <c r="G65" s="2"/>
      <c r="H65" s="2"/>
      <c r="I65" s="2"/>
      <c r="J65" s="2"/>
      <c r="K65" s="2"/>
      <c r="L65" s="2"/>
      <c r="M65" s="2"/>
      <c r="N65" s="2"/>
      <c r="O65" s="2"/>
      <c r="P65" s="2"/>
      <c r="Q65" s="2"/>
      <c r="R65" s="2"/>
      <c r="S65" s="2"/>
      <c r="T65" s="2"/>
      <c r="U65" s="2"/>
      <c r="V65" s="2"/>
      <c r="W65" s="2"/>
      <c r="X65" s="2"/>
      <c r="Y65" s="2"/>
      <c r="Z65" s="2"/>
      <c r="AA65" s="2"/>
      <c r="AB65" s="2"/>
    </row>
  </sheetData>
  <sheetProtection/>
  <mergeCells count="85">
    <mergeCell ref="AB38:AB47"/>
    <mergeCell ref="AB28:AB37"/>
    <mergeCell ref="Y18:Y27"/>
    <mergeCell ref="U18:U27"/>
    <mergeCell ref="Z28:Z37"/>
    <mergeCell ref="AA28:AA37"/>
    <mergeCell ref="V38:V47"/>
    <mergeCell ref="W38:W47"/>
    <mergeCell ref="X38:X47"/>
    <mergeCell ref="Y38:Y47"/>
    <mergeCell ref="Y28:Y37"/>
    <mergeCell ref="W18:W27"/>
    <mergeCell ref="B52:W52"/>
    <mergeCell ref="Z38:Z47"/>
    <mergeCell ref="Z18:Z27"/>
    <mergeCell ref="AA18:AA27"/>
    <mergeCell ref="AA38:AA47"/>
    <mergeCell ref="AA8:AA17"/>
    <mergeCell ref="AE8:AE17"/>
    <mergeCell ref="AF8:AF17"/>
    <mergeCell ref="AE18:AE27"/>
    <mergeCell ref="AF18:AF27"/>
    <mergeCell ref="Y8:Y17"/>
    <mergeCell ref="Z8:Z17"/>
    <mergeCell ref="AB18:AB27"/>
    <mergeCell ref="AB8:AB17"/>
    <mergeCell ref="AG8:AG17"/>
    <mergeCell ref="M28:P37"/>
    <mergeCell ref="Q38:T47"/>
    <mergeCell ref="C18:C27"/>
    <mergeCell ref="D18:D27"/>
    <mergeCell ref="C28:C37"/>
    <mergeCell ref="D28:D37"/>
    <mergeCell ref="C38:C47"/>
    <mergeCell ref="W8:W17"/>
    <mergeCell ref="AE38:AE47"/>
    <mergeCell ref="X8:X17"/>
    <mergeCell ref="A28:A37"/>
    <mergeCell ref="A38:A47"/>
    <mergeCell ref="C8:C17"/>
    <mergeCell ref="D8:D17"/>
    <mergeCell ref="A8:A17"/>
    <mergeCell ref="A18:A27"/>
    <mergeCell ref="X18:X27"/>
    <mergeCell ref="V18:V27"/>
    <mergeCell ref="D38:D47"/>
    <mergeCell ref="C6:D7"/>
    <mergeCell ref="Y6:Y7"/>
    <mergeCell ref="I6:L6"/>
    <mergeCell ref="I7:L7"/>
    <mergeCell ref="E8:H17"/>
    <mergeCell ref="I18:L27"/>
    <mergeCell ref="V6:V7"/>
    <mergeCell ref="W6:W7"/>
    <mergeCell ref="U8:U17"/>
    <mergeCell ref="V8:V17"/>
    <mergeCell ref="P2:R2"/>
    <mergeCell ref="AA6:AA7"/>
    <mergeCell ref="S2:U2"/>
    <mergeCell ref="M6:P6"/>
    <mergeCell ref="M7:P7"/>
    <mergeCell ref="Q6:T6"/>
    <mergeCell ref="Q7:T7"/>
    <mergeCell ref="U6:U7"/>
    <mergeCell ref="V2:X2"/>
    <mergeCell ref="AF38:AF47"/>
    <mergeCell ref="AG2:AL2"/>
    <mergeCell ref="C4:AB4"/>
    <mergeCell ref="U28:U37"/>
    <mergeCell ref="V28:V37"/>
    <mergeCell ref="W28:W37"/>
    <mergeCell ref="X28:X37"/>
    <mergeCell ref="AE6:AG6"/>
    <mergeCell ref="AG38:AG47"/>
    <mergeCell ref="U38:U47"/>
    <mergeCell ref="A6:A7"/>
    <mergeCell ref="AG18:AG27"/>
    <mergeCell ref="AE28:AE37"/>
    <mergeCell ref="AF28:AF37"/>
    <mergeCell ref="AG28:AG37"/>
    <mergeCell ref="AB6:AB7"/>
    <mergeCell ref="Z6:Z7"/>
    <mergeCell ref="E7:H7"/>
    <mergeCell ref="E6:H6"/>
    <mergeCell ref="X6:X7"/>
  </mergeCells>
  <conditionalFormatting sqref="U8:U13 U18:U23 U28:U33 U38:U43">
    <cfRule type="cellIs" priority="1" dxfId="4" operator="greaterThan" stopIfTrue="1">
      <formula>30</formula>
    </cfRule>
  </conditionalFormatting>
  <printOptions/>
  <pageMargins left="0.33" right="0.24" top="0.25" bottom="0.31" header="0.15" footer="0.25"/>
  <pageSetup horizontalDpi="600" verticalDpi="600" orientation="landscape" paperSize="9" scale="80" r:id="rId2"/>
  <ignoredErrors>
    <ignoredError sqref="A8:A47 Y8:AB47" evalError="1"/>
  </ignoredErrors>
  <drawing r:id="rId1"/>
</worksheet>
</file>

<file path=xl/worksheets/sheet6.xml><?xml version="1.0" encoding="utf-8"?>
<worksheet xmlns="http://schemas.openxmlformats.org/spreadsheetml/2006/main" xmlns:r="http://schemas.openxmlformats.org/officeDocument/2006/relationships">
  <sheetPr>
    <tabColor indexed="52"/>
  </sheetPr>
  <dimension ref="B2:K39"/>
  <sheetViews>
    <sheetView showGridLines="0" zoomScale="85" zoomScaleNormal="85" zoomScalePageLayoutView="0" workbookViewId="0" topLeftCell="A1">
      <selection activeCell="B2" sqref="B2:E4"/>
    </sheetView>
  </sheetViews>
  <sheetFormatPr defaultColWidth="8.796875" defaultRowHeight="15"/>
  <cols>
    <col min="1" max="1" width="2.296875" style="0" customWidth="1"/>
    <col min="2" max="2" width="11" style="0" customWidth="1"/>
    <col min="5" max="5" width="10.09765625" style="0" customWidth="1"/>
    <col min="8" max="8" width="13" style="0" customWidth="1"/>
    <col min="9" max="9" width="17.5" style="0" customWidth="1"/>
    <col min="10" max="10" width="15.19921875" style="0" customWidth="1"/>
  </cols>
  <sheetData>
    <row r="1" ht="14.25" thickBot="1"/>
    <row r="2" spans="2:11" ht="21" customHeight="1">
      <c r="B2" s="539" t="str">
        <f>VLOOKUP("A",'素データ'!Y5:Z14,2,FALSE)</f>
        <v>ディアス</v>
      </c>
      <c r="C2" s="539"/>
      <c r="D2" s="539"/>
      <c r="E2" s="539"/>
      <c r="F2" s="108"/>
      <c r="G2" s="88" t="s">
        <v>156</v>
      </c>
      <c r="H2" s="82">
        <f>SUM('スコア付き集計表'!J8:J17)</f>
        <v>19</v>
      </c>
      <c r="I2" s="83">
        <f>SUM('スコア付き集計表'!N8:N17)</f>
        <v>12</v>
      </c>
      <c r="J2" s="83">
        <f>SUM('スコア付き集計表'!R8:R17)</f>
        <v>7</v>
      </c>
      <c r="K2" s="150">
        <f>SUM(H2:J2)</f>
        <v>38</v>
      </c>
    </row>
    <row r="3" spans="2:11" ht="21.75" customHeight="1" thickBot="1">
      <c r="B3" s="539"/>
      <c r="C3" s="539"/>
      <c r="D3" s="539"/>
      <c r="E3" s="539"/>
      <c r="F3" s="108"/>
      <c r="G3" s="89" t="s">
        <v>157</v>
      </c>
      <c r="H3" s="84">
        <f>SUM('スコア付き集計表'!L8:L17)</f>
        <v>5</v>
      </c>
      <c r="I3" s="85">
        <f>SUM('スコア付き集計表'!P8:P17)</f>
        <v>3</v>
      </c>
      <c r="J3" s="85">
        <f>SUM('スコア付き集計表'!T8:T17)</f>
        <v>10</v>
      </c>
      <c r="K3" s="151">
        <f>SUM(H3:J3)</f>
        <v>18</v>
      </c>
    </row>
    <row r="4" spans="2:11" ht="14.25" customHeight="1">
      <c r="B4" s="539"/>
      <c r="C4" s="539"/>
      <c r="D4" s="539"/>
      <c r="E4" s="539"/>
      <c r="F4" s="108"/>
      <c r="G4" s="105" t="s">
        <v>155</v>
      </c>
      <c r="H4" s="221" t="str">
        <f>VLOOKUP(H5,'素データ'!$Y$7:$Z$14,2,FALSE)</f>
        <v>ベアーズ</v>
      </c>
      <c r="I4" s="222" t="str">
        <f>VLOOKUP(I5,'素データ'!$Y$7:$Z$14,2,FALSE)</f>
        <v>エンジェルス</v>
      </c>
      <c r="J4" s="223" t="str">
        <f>VLOOKUP(J5,'素データ'!$Y$7:$Z$14,2,FALSE)</f>
        <v>サンデーズＪｒ</v>
      </c>
      <c r="K4" s="87" t="s">
        <v>159</v>
      </c>
    </row>
    <row r="5" spans="7:11" ht="16.5" thickBot="1">
      <c r="G5" s="89" t="s">
        <v>158</v>
      </c>
      <c r="H5" s="224" t="str">
        <f>'素データ'!Y8</f>
        <v>B</v>
      </c>
      <c r="I5" s="225" t="str">
        <f>'素データ'!Y9</f>
        <v>C</v>
      </c>
      <c r="J5" s="226" t="str">
        <f>'素データ'!Y10</f>
        <v>D</v>
      </c>
      <c r="K5" s="86" t="str">
        <f>IF(AND(K2='スコア付き集計表'!Z8,K3='スコア付き集計表'!AA8),"OK","NG")</f>
        <v>OK</v>
      </c>
    </row>
    <row r="39" ht="13.5">
      <c r="B39" s="91" t="s">
        <v>241</v>
      </c>
    </row>
  </sheetData>
  <sheetProtection/>
  <mergeCells count="1">
    <mergeCell ref="B2:E4"/>
  </mergeCell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1"/>
  </sheetPr>
  <dimension ref="B2:K5"/>
  <sheetViews>
    <sheetView showGridLines="0" zoomScale="85" zoomScaleNormal="85" zoomScalePageLayoutView="0" workbookViewId="0" topLeftCell="A1">
      <selection activeCell="G47" sqref="G47"/>
    </sheetView>
  </sheetViews>
  <sheetFormatPr defaultColWidth="8.796875" defaultRowHeight="15"/>
  <cols>
    <col min="1" max="1" width="2.796875" style="0" customWidth="1"/>
    <col min="2" max="2" width="11" style="0" customWidth="1"/>
    <col min="8" max="8" width="15.09765625" style="0" customWidth="1"/>
    <col min="9" max="9" width="17.296875" style="0" customWidth="1"/>
    <col min="10" max="10" width="13.296875" style="0" customWidth="1"/>
  </cols>
  <sheetData>
    <row r="1" ht="14.25" thickBot="1"/>
    <row r="2" spans="2:11" ht="21" customHeight="1">
      <c r="B2" s="540" t="str">
        <f>VLOOKUP("B",'素データ'!Y5:Z14,2,FALSE)</f>
        <v>ベアーズ</v>
      </c>
      <c r="C2" s="540"/>
      <c r="D2" s="540"/>
      <c r="E2" s="540"/>
      <c r="G2" s="88" t="s">
        <v>156</v>
      </c>
      <c r="H2" s="82">
        <f>SUM('スコア付き集計表'!F18:F27)</f>
        <v>5</v>
      </c>
      <c r="I2" s="83">
        <f>SUM('スコア付き集計表'!N18:N27)</f>
        <v>7</v>
      </c>
      <c r="J2" s="83">
        <f>SUM('スコア付き集計表'!R18:R27)</f>
        <v>3</v>
      </c>
      <c r="K2" s="150">
        <f>SUM(H2:J2)</f>
        <v>15</v>
      </c>
    </row>
    <row r="3" spans="2:11" ht="21.75" customHeight="1" thickBot="1">
      <c r="B3" s="540"/>
      <c r="C3" s="540"/>
      <c r="D3" s="540"/>
      <c r="E3" s="540"/>
      <c r="G3" s="89" t="s">
        <v>157</v>
      </c>
      <c r="H3" s="84">
        <f>SUM('スコア付き集計表'!H18:H27)</f>
        <v>19</v>
      </c>
      <c r="I3" s="85">
        <f>SUM('スコア付き集計表'!P18:P27)</f>
        <v>10</v>
      </c>
      <c r="J3" s="85">
        <f>SUM('スコア付き集計表'!T18:T27)</f>
        <v>15</v>
      </c>
      <c r="K3" s="151">
        <f>SUM(H3:J3)</f>
        <v>44</v>
      </c>
    </row>
    <row r="4" spans="2:11" ht="14.25" customHeight="1">
      <c r="B4" s="540"/>
      <c r="C4" s="540"/>
      <c r="D4" s="540"/>
      <c r="E4" s="540"/>
      <c r="G4" s="105" t="s">
        <v>155</v>
      </c>
      <c r="H4" s="384" t="str">
        <f>VLOOKUP(H5,'素データ'!$Y$7:$Z$14,2,FALSE)</f>
        <v>ディアス</v>
      </c>
      <c r="I4" s="222" t="str">
        <f>VLOOKUP(I5,'素データ'!$Y$7:$Z$14,2,FALSE)</f>
        <v>エンジェルス</v>
      </c>
      <c r="J4" s="223" t="str">
        <f>VLOOKUP(J5,'素データ'!$Y$7:$Z$14,2,FALSE)</f>
        <v>サンデーズＪｒ</v>
      </c>
      <c r="K4" s="87" t="s">
        <v>159</v>
      </c>
    </row>
    <row r="5" spans="7:11" ht="16.5" thickBot="1">
      <c r="G5" s="89" t="s">
        <v>158</v>
      </c>
      <c r="H5" s="385" t="str">
        <f>'素データ'!Y7</f>
        <v>A</v>
      </c>
      <c r="I5" s="225" t="str">
        <f>'素データ'!Y9</f>
        <v>C</v>
      </c>
      <c r="J5" s="226" t="str">
        <f>'素データ'!Y10</f>
        <v>D</v>
      </c>
      <c r="K5" s="86" t="str">
        <f>IF(AND(K2='スコア付き集計表'!Z18,K3='スコア付き集計表'!AA18),"OK","NG")</f>
        <v>OK</v>
      </c>
    </row>
  </sheetData>
  <sheetProtection/>
  <mergeCells count="1">
    <mergeCell ref="B2:E4"/>
  </mergeCells>
  <printOptions/>
  <pageMargins left="0.75" right="0.75" top="1" bottom="1" header="0.512" footer="0.512"/>
  <pageSetup orientation="portrait" paperSize="9"/>
  <drawing r:id="rId1"/>
</worksheet>
</file>

<file path=xl/worksheets/sheet8.xml><?xml version="1.0" encoding="utf-8"?>
<worksheet xmlns="http://schemas.openxmlformats.org/spreadsheetml/2006/main" xmlns:r="http://schemas.openxmlformats.org/officeDocument/2006/relationships">
  <sheetPr>
    <tabColor indexed="45"/>
  </sheetPr>
  <dimension ref="B2:K5"/>
  <sheetViews>
    <sheetView showGridLines="0" zoomScale="85" zoomScaleNormal="85" zoomScalePageLayoutView="0" workbookViewId="0" topLeftCell="A1">
      <selection activeCell="S26" sqref="S26"/>
    </sheetView>
  </sheetViews>
  <sheetFormatPr defaultColWidth="8.796875" defaultRowHeight="15"/>
  <cols>
    <col min="1" max="1" width="2" style="0" customWidth="1"/>
    <col min="2" max="2" width="11" style="0" customWidth="1"/>
    <col min="5" max="5" width="14.296875" style="0" customWidth="1"/>
    <col min="8" max="8" width="14.296875" style="0" customWidth="1"/>
    <col min="9" max="9" width="12.09765625" style="0" customWidth="1"/>
    <col min="10" max="10" width="11.69921875" style="0" customWidth="1"/>
  </cols>
  <sheetData>
    <row r="1" ht="14.25" thickBot="1"/>
    <row r="2" spans="2:11" ht="21" customHeight="1">
      <c r="B2" s="541" t="str">
        <f>VLOOKUP("C",'素データ'!Y5:Z14,2,FALSE)</f>
        <v>エンジェルス</v>
      </c>
      <c r="C2" s="541"/>
      <c r="D2" s="541"/>
      <c r="E2" s="541"/>
      <c r="G2" s="88" t="s">
        <v>156</v>
      </c>
      <c r="H2" s="82">
        <f>SUM('スコア付き集計表'!F28:F37)</f>
        <v>3</v>
      </c>
      <c r="I2" s="83">
        <f>SUM('スコア付き集計表'!J28:J37)</f>
        <v>10</v>
      </c>
      <c r="J2" s="83">
        <f>SUM('スコア付き集計表'!R28:R37)</f>
        <v>17</v>
      </c>
      <c r="K2" s="150">
        <f>SUM(H2:J2)</f>
        <v>30</v>
      </c>
    </row>
    <row r="3" spans="2:11" ht="21.75" customHeight="1" thickBot="1">
      <c r="B3" s="541"/>
      <c r="C3" s="541"/>
      <c r="D3" s="541"/>
      <c r="E3" s="541"/>
      <c r="G3" s="89" t="s">
        <v>157</v>
      </c>
      <c r="H3" s="84">
        <f>SUM('スコア付き集計表'!H28:H37)</f>
        <v>12</v>
      </c>
      <c r="I3" s="85">
        <f>SUM('スコア付き集計表'!L28:L37)</f>
        <v>7</v>
      </c>
      <c r="J3" s="85">
        <f>SUM('スコア付き集計表'!T28:T37)</f>
        <v>14</v>
      </c>
      <c r="K3" s="151">
        <f>SUM(H3:J3)</f>
        <v>33</v>
      </c>
    </row>
    <row r="4" spans="2:11" ht="14.25" customHeight="1">
      <c r="B4" s="541"/>
      <c r="C4" s="541"/>
      <c r="D4" s="541"/>
      <c r="E4" s="541"/>
      <c r="G4" s="105" t="s">
        <v>155</v>
      </c>
      <c r="H4" s="384" t="str">
        <f>VLOOKUP(H5,'素データ'!$Y$7:$Z$14,2,FALSE)</f>
        <v>ディアス</v>
      </c>
      <c r="I4" s="221" t="str">
        <f>VLOOKUP(I5,'素データ'!$Y$7:$Z$14,2,FALSE)</f>
        <v>ベアーズ</v>
      </c>
      <c r="J4" s="223" t="str">
        <f>VLOOKUP(J5,'素データ'!$Y$7:$Z$14,2,FALSE)</f>
        <v>サンデーズＪｒ</v>
      </c>
      <c r="K4" s="87" t="s">
        <v>159</v>
      </c>
    </row>
    <row r="5" spans="7:11" ht="16.5" thickBot="1">
      <c r="G5" s="89" t="s">
        <v>158</v>
      </c>
      <c r="H5" s="385" t="str">
        <f>'素データ'!Y7</f>
        <v>A</v>
      </c>
      <c r="I5" s="227" t="str">
        <f>'素データ'!Y8</f>
        <v>B</v>
      </c>
      <c r="J5" s="226" t="str">
        <f>'素データ'!Y10</f>
        <v>D</v>
      </c>
      <c r="K5" s="86" t="str">
        <f>IF(AND(K2='スコア付き集計表'!Z28,K3='スコア付き集計表'!AA28),"OK","NG")</f>
        <v>OK</v>
      </c>
    </row>
  </sheetData>
  <sheetProtection/>
  <mergeCells count="1">
    <mergeCell ref="B2:E4"/>
  </mergeCells>
  <printOptions/>
  <pageMargins left="0.75" right="0.75" top="1" bottom="1" header="0.512" footer="0.512"/>
  <pageSetup orientation="portrait" paperSize="9"/>
  <drawing r:id="rId1"/>
</worksheet>
</file>

<file path=xl/worksheets/sheet9.xml><?xml version="1.0" encoding="utf-8"?>
<worksheet xmlns="http://schemas.openxmlformats.org/spreadsheetml/2006/main" xmlns:r="http://schemas.openxmlformats.org/officeDocument/2006/relationships">
  <sheetPr>
    <tabColor indexed="42"/>
  </sheetPr>
  <dimension ref="B2:K5"/>
  <sheetViews>
    <sheetView showGridLines="0" zoomScale="85" zoomScaleNormal="85" zoomScalePageLayoutView="0" workbookViewId="0" topLeftCell="A1">
      <selection activeCell="N4" sqref="N4"/>
    </sheetView>
  </sheetViews>
  <sheetFormatPr defaultColWidth="8.796875" defaultRowHeight="15"/>
  <cols>
    <col min="1" max="1" width="2.296875" style="0" customWidth="1"/>
    <col min="2" max="2" width="11" style="0" customWidth="1"/>
    <col min="5" max="5" width="15.09765625" style="0" customWidth="1"/>
    <col min="8" max="8" width="15.3984375" style="0" customWidth="1"/>
    <col min="9" max="9" width="16.3984375" style="0" customWidth="1"/>
    <col min="10" max="10" width="17.3984375" style="0" customWidth="1"/>
  </cols>
  <sheetData>
    <row r="1" ht="14.25" thickBot="1"/>
    <row r="2" spans="2:11" ht="21" customHeight="1">
      <c r="B2" s="542" t="str">
        <f>VLOOKUP("D",'素データ'!Y5:Z14,2,FALSE)</f>
        <v>サンデーズＪｒ</v>
      </c>
      <c r="C2" s="542"/>
      <c r="D2" s="542"/>
      <c r="E2" s="542"/>
      <c r="G2" s="88" t="s">
        <v>156</v>
      </c>
      <c r="H2" s="82">
        <f>SUM('スコア付き集計表'!F38:F47)</f>
        <v>10</v>
      </c>
      <c r="I2" s="83">
        <f>SUM('スコア付き集計表'!J38:J47)</f>
        <v>15</v>
      </c>
      <c r="J2" s="83">
        <f>SUM('スコア付き集計表'!N38:N47)</f>
        <v>14</v>
      </c>
      <c r="K2" s="150">
        <f>SUM(H2:J2)</f>
        <v>39</v>
      </c>
    </row>
    <row r="3" spans="2:11" ht="21.75" customHeight="1" thickBot="1">
      <c r="B3" s="542"/>
      <c r="C3" s="542"/>
      <c r="D3" s="542"/>
      <c r="E3" s="542"/>
      <c r="G3" s="89" t="s">
        <v>157</v>
      </c>
      <c r="H3" s="84">
        <f>SUM('スコア付き集計表'!H38:H47)</f>
        <v>7</v>
      </c>
      <c r="I3" s="85">
        <f>SUM('スコア付き集計表'!L38:L47)</f>
        <v>3</v>
      </c>
      <c r="J3" s="85">
        <f>SUM('スコア付き集計表'!P38:P47)</f>
        <v>17</v>
      </c>
      <c r="K3" s="151">
        <f>SUM(H3:J3)</f>
        <v>27</v>
      </c>
    </row>
    <row r="4" spans="2:11" ht="14.25" customHeight="1">
      <c r="B4" s="542"/>
      <c r="C4" s="542"/>
      <c r="D4" s="542"/>
      <c r="E4" s="542"/>
      <c r="G4" s="105" t="s">
        <v>155</v>
      </c>
      <c r="H4" s="384" t="str">
        <f>VLOOKUP(H5,'素データ'!$Y$7:$Z$14,2,FALSE)</f>
        <v>ディアス</v>
      </c>
      <c r="I4" s="223" t="str">
        <f>VLOOKUP(I5,'素データ'!$Y$7:$Z$14,2,FALSE)</f>
        <v>ベアーズ</v>
      </c>
      <c r="J4" s="222" t="str">
        <f>VLOOKUP(J5,'素データ'!$Y$7:$Z$14,2,FALSE)</f>
        <v>エンジェルス</v>
      </c>
      <c r="K4" s="87" t="s">
        <v>159</v>
      </c>
    </row>
    <row r="5" spans="7:11" ht="16.5" thickBot="1">
      <c r="G5" s="89" t="s">
        <v>158</v>
      </c>
      <c r="H5" s="385" t="str">
        <f>'素データ'!Y7</f>
        <v>A</v>
      </c>
      <c r="I5" s="227" t="str">
        <f>'素データ'!Y8</f>
        <v>B</v>
      </c>
      <c r="J5" s="225" t="str">
        <f>'素データ'!Y9</f>
        <v>C</v>
      </c>
      <c r="K5" s="86" t="str">
        <f>IF(AND(K2='スコア付き集計表'!Z38,K3='スコア付き集計表'!AA38),"OK","NG")</f>
        <v>OK</v>
      </c>
    </row>
  </sheetData>
  <sheetProtection/>
  <mergeCells count="1">
    <mergeCell ref="B2:E4"/>
  </mergeCell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天野省吾</dc:creator>
  <cp:keywords/>
  <dc:description/>
  <cp:lastModifiedBy>省吾 天野</cp:lastModifiedBy>
  <cp:lastPrinted>2023-05-28T06:13:08Z</cp:lastPrinted>
  <dcterms:created xsi:type="dcterms:W3CDTF">2007-11-15T01:35:42Z</dcterms:created>
  <dcterms:modified xsi:type="dcterms:W3CDTF">2024-04-29T02:04:40Z</dcterms:modified>
  <cp:category/>
  <cp:version/>
  <cp:contentType/>
  <cp:contentStatus/>
</cp:coreProperties>
</file>